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28" yWindow="1536" windowWidth="5016" windowHeight="7260" activeTab="0"/>
  </bookViews>
  <sheets>
    <sheet name="ROADSIDE" sheetId="1" r:id="rId1"/>
    <sheet name="SIInterpolator" sheetId="2" r:id="rId2"/>
    <sheet name="MetricConverter" sheetId="3" r:id="rId3"/>
  </sheets>
  <definedNames>
    <definedName name="_xlfn.SINGLE" hidden="1">#NAME?</definedName>
    <definedName name="a">FALSE</definedName>
    <definedName name="ACost">800000</definedName>
    <definedName name="ACost">'ROADSIDE'!$L$75</definedName>
    <definedName name="AdjAccCost">'ROADSIDE'!$F$126</definedName>
    <definedName name="AdjencfreqZone1">'ROADSIDE'!$B$99</definedName>
    <definedName name="AdjencfreqZone2">'ROADSIDE'!$B$100</definedName>
    <definedName name="AdjencfreqZone3">'ROADSIDE'!$B$101</definedName>
    <definedName name="AdjImpacts1">'ROADSIDE'!$B$111</definedName>
    <definedName name="AdjImpacts2">'ROADSIDE'!$B$112</definedName>
    <definedName name="AdjImpacts3">'ROADSIDE'!$B$113</definedName>
    <definedName name="AdjProbZone1">'ROADSIDE'!$B$105</definedName>
    <definedName name="AdjProbZone2">'ROADSIDE'!$B$106</definedName>
    <definedName name="AdjProbZone3">'ROADSIDE'!$B$107</definedName>
    <definedName name="AdjZone1">'roadside-macro'!$A$2</definedName>
    <definedName name="AdjZone2">'roadside-macro'!$A$39</definedName>
    <definedName name="AdjZone3">'roadside-macro'!$A$76</definedName>
    <definedName name="ADT">15000</definedName>
    <definedName name="ADT">'ROADSIDE'!$D$9</definedName>
    <definedName name="Analysis">"X"</definedName>
    <definedName name="Analysis">'ROADSIDE'!$D$18</definedName>
    <definedName name="BCost">160000</definedName>
    <definedName name="BCost">'ROADSIDE'!$L$76</definedName>
    <definedName name="CCost">85000</definedName>
    <definedName name="CCost">'ROADSIDE'!$L$77</definedName>
    <definedName name="CostEight">6049800</definedName>
    <definedName name="CostFive">1100035</definedName>
    <definedName name="Costfour">467370</definedName>
    <definedName name="CostNine">8855200</definedName>
    <definedName name="CostOne">17930.6</definedName>
    <definedName name="CostOneHalf">8900</definedName>
    <definedName name="CostSeven">3773478</definedName>
    <definedName name="CostSix">2324623</definedName>
    <definedName name="CostTen">11600000</definedName>
    <definedName name="CostThree">190327</definedName>
    <definedName name="CostTwo">36219</definedName>
    <definedName name="CostZero">0</definedName>
    <definedName name="Count">13</definedName>
    <definedName name="CRF">'ROADSIDE'!$D$74</definedName>
    <definedName name="Cut_Fill">"F"</definedName>
    <definedName name="Date">'roadside-macro'!$A$422</definedName>
    <definedName name="DCDC">'ROADSIDE'!$E$67</definedName>
    <definedName name="DCDS">'ROADSIDE'!$E$68</definedName>
    <definedName name="DCF">'ROADSIDE'!$E$66</definedName>
    <definedName name="DCUC">'ROADSIDE'!$E$65</definedName>
    <definedName name="DCUS">'ROADSIDE'!$E$64</definedName>
    <definedName name="Degree">'ROADSIDE'!$D$13</definedName>
    <definedName name="EconomicFactor">'roadside-macro'!$A$235</definedName>
    <definedName name="EffOffset">0</definedName>
    <definedName name="EffOffsetA">'ROADSIDE'!$D$35</definedName>
    <definedName name="EffOffsetB">'ROADSIDE'!$E$35</definedName>
    <definedName name="EffOffsetC">'ROADSIDE'!$F$35</definedName>
    <definedName name="EffOffsetD">'ROADSIDE'!$G$35</definedName>
    <definedName name="EffOffsetE">'ROADSIDE'!$H$35</definedName>
    <definedName name="EncAngle">0.300196631343025</definedName>
    <definedName name="EncAngle">'ROADSIDE'!$K$82</definedName>
    <definedName name="Grade">'ROADSIDE'!$D$12</definedName>
    <definedName name="HD">2</definedName>
    <definedName name="HL">250</definedName>
    <definedName name="HwyType">"U"</definedName>
    <definedName name="HwyType">'ROADSIDE'!$D$17</definedName>
    <definedName name="i">3</definedName>
    <definedName name="i">'ROADSIDE'!$D$25</definedName>
    <definedName name="Kc">7.21103252805683</definedName>
    <definedName name="Kc">'ROADSIDE'!$D$77</definedName>
    <definedName name="KCost">11600000</definedName>
    <definedName name="KCost">'ROADSIDE'!$L$74</definedName>
    <definedName name="LaneWidth">12</definedName>
    <definedName name="LaneWidth">'ROADSIDE'!$D$15</definedName>
    <definedName name="Length">1000</definedName>
    <definedName name="Length">'ROADSIDE'!$D$34</definedName>
    <definedName name="Length_B">'ROADSIDE'!$E$34</definedName>
    <definedName name="Length_C">'ROADSIDE'!$F$34</definedName>
    <definedName name="Length_D">'ROADSIDE'!$G$34</definedName>
    <definedName name="Length_E">'ROADSIDE'!$H$34</definedName>
    <definedName name="Multilane">'roadside-macro'!$A$249</definedName>
    <definedName name="n">1</definedName>
    <definedName name="n">'ROADSIDE'!$D$24</definedName>
    <definedName name="NextOffset">0</definedName>
    <definedName name="NoLanes">1</definedName>
    <definedName name="NoLanes">'ROADSIDE'!$D$14</definedName>
    <definedName name="OCost">8900</definedName>
    <definedName name="OCost">'ROADSIDE'!$L$78</definedName>
    <definedName name="Offset">0</definedName>
    <definedName name="Offset">'ROADSIDE'!$D$32</definedName>
    <definedName name="OffsetB">'ROADSIDE'!$E$32</definedName>
    <definedName name="OffsetC">'ROADSIDE'!$F$32</definedName>
    <definedName name="OffsetD">'ROADSIDE'!$G$32</definedName>
    <definedName name="OffsetE">'ROADSIDE'!$H$32</definedName>
    <definedName name="OH">10</definedName>
    <definedName name="OppAccCost">'ROADSIDE'!$L$126</definedName>
    <definedName name="OppAnalysis">'ROADSIDE'!$M$84</definedName>
    <definedName name="OppencfreqZone1">'ROADSIDE'!$H$99</definedName>
    <definedName name="OppencfreqZone2">'ROADSIDE'!$H$100</definedName>
    <definedName name="OppencfreqZone3">'ROADSIDE'!$H$101</definedName>
    <definedName name="OppImpacts1">'ROADSIDE'!$H$111</definedName>
    <definedName name="OppImpacts2">'ROADSIDE'!$H$112</definedName>
    <definedName name="OppImpacts3">'ROADSIDE'!$H$113</definedName>
    <definedName name="OppOffset">12</definedName>
    <definedName name="OppProbZone1">'ROADSIDE'!$H$105</definedName>
    <definedName name="OppProbZone2">'ROADSIDE'!$H$106</definedName>
    <definedName name="OppProbZone3">'ROADSIDE'!$H$107</definedName>
    <definedName name="OppZone1">'roadside-macro'!$A$102</definedName>
    <definedName name="OppZone2">'roadside-macro'!$A$150</definedName>
    <definedName name="OppZone3">'roadside-macro'!$A$198</definedName>
    <definedName name="OrigOffset">0</definedName>
    <definedName name="OrigWidth">0</definedName>
    <definedName name="_xlnm.Print_Area" localSheetId="0">'ROADSIDE'!$A$1:$L$68</definedName>
    <definedName name="_xlnm.Print_Area">'roadside-macro'!$A$1:$A$465</definedName>
    <definedName name="Rate">0</definedName>
    <definedName name="SI">0</definedName>
    <definedName name="SIDC">'ROADSIDE'!$D$42</definedName>
    <definedName name="SIDC_B">'ROADSIDE'!$E$42</definedName>
    <definedName name="SIDC_C">'ROADSIDE'!$F$42</definedName>
    <definedName name="SIDC_D">'ROADSIDE'!$G$42</definedName>
    <definedName name="SIDC_E">'ROADSIDE'!$H$42</definedName>
    <definedName name="SIDS">'ROADSIDE'!$D$43</definedName>
    <definedName name="SIDS_B">'ROADSIDE'!$E$43</definedName>
    <definedName name="SIDS_C">'ROADSIDE'!$F$43</definedName>
    <definedName name="SIDS_D">'ROADSIDE'!$G$43</definedName>
    <definedName name="SIDS_E">'ROADSIDE'!$H$43</definedName>
    <definedName name="SIF">'ROADSIDE'!$D$41</definedName>
    <definedName name="SIF_B">'ROADSIDE'!$E$41</definedName>
    <definedName name="SIF_C">'ROADSIDE'!$F$41</definedName>
    <definedName name="SIF_D">'ROADSIDE'!$G$41</definedName>
    <definedName name="SIF_E">'ROADSIDE'!$H$41</definedName>
    <definedName name="SItable">'roadside-macro'!$A$386</definedName>
    <definedName name="SIUC">'ROADSIDE'!$D$40</definedName>
    <definedName name="SIUC_B">'ROADSIDE'!$E$40</definedName>
    <definedName name="SIUC_C">'ROADSIDE'!$F$40</definedName>
    <definedName name="SIUC_D">'ROADSIDE'!$G$40</definedName>
    <definedName name="SIUC_E">'ROADSIDE'!$H$40</definedName>
    <definedName name="SIUS">'ROADSIDE'!$D$39</definedName>
    <definedName name="SIUS_B">'ROADSIDE'!$E$39</definedName>
    <definedName name="SIUS_C">'ROADSIDE'!$F$39</definedName>
    <definedName name="SIUS_D">'ROADSIDE'!$G$39</definedName>
    <definedName name="SIUS_E">'ROADSIDE'!$H$39</definedName>
    <definedName name="Slope">0</definedName>
    <definedName name="SlopeFactors">'roadside-macro'!$A$354</definedName>
    <definedName name="SlopeRate">'ROADSIDE'!$D$31</definedName>
    <definedName name="SlopeRateB">'ROADSIDE'!$E$31</definedName>
    <definedName name="SlopeRateC">'ROADSIDE'!$F$31</definedName>
    <definedName name="SlopeRateD">'ROADSIDE'!$G$31</definedName>
    <definedName name="SlopeType">'ROADSIDE'!$D$30</definedName>
    <definedName name="SlopeTypeB">'ROADSIDE'!$E$30</definedName>
    <definedName name="SlopeTypeC">'ROADSIDE'!$F$30</definedName>
    <definedName name="SlopeTypeD">'ROADSIDE'!$G$30</definedName>
    <definedName name="SPCAF">'ROADSIDE'!$D$76</definedName>
    <definedName name="Speed">40</definedName>
    <definedName name="Speed">'ROADSIDE'!$D$11</definedName>
    <definedName name="SwathWidth">12</definedName>
    <definedName name="SwathWidth">'ROADSIDE'!$D$16</definedName>
    <definedName name="TGF">0</definedName>
    <definedName name="TGF">'ROADSIDE'!$D$10</definedName>
    <definedName name="Type">"O"</definedName>
    <definedName name="Vel">60</definedName>
    <definedName name="Width">0</definedName>
    <definedName name="Width">'ROADSIDE'!$D$33</definedName>
    <definedName name="Width_B">'ROADSIDE'!$E$33</definedName>
    <definedName name="Width_C">'ROADSIDE'!$F$33</definedName>
    <definedName name="Width_D">'ROADSIDE'!$G$33</definedName>
    <definedName name="Width_E">'ROADSIDE'!$H$33</definedName>
    <definedName name="x">6.9664</definedName>
    <definedName name="z">12</definedName>
  </definedNames>
  <calcPr fullCalcOnLoad="1"/>
</workbook>
</file>

<file path=xl/sharedStrings.xml><?xml version="1.0" encoding="utf-8"?>
<sst xmlns="http://schemas.openxmlformats.org/spreadsheetml/2006/main" count="600" uniqueCount="264">
  <si>
    <t>Off set</t>
  </si>
  <si>
    <t>30 mph</t>
  </si>
  <si>
    <t>40 mph</t>
  </si>
  <si>
    <t>50 mph</t>
  </si>
  <si>
    <t>60 mph</t>
  </si>
  <si>
    <t>70 mph</t>
  </si>
  <si>
    <t>AdjZone1</t>
  </si>
  <si>
    <t>Zone 1 Subroutine</t>
  </si>
  <si>
    <t>to compute lateral extent</t>
  </si>
  <si>
    <t>Probabilites</t>
  </si>
  <si>
    <t>recognizing inputs</t>
  </si>
  <si>
    <t>Convert to Radians</t>
  </si>
  <si>
    <t>Choose computations</t>
  </si>
  <si>
    <t>based upon Speed</t>
  </si>
  <si>
    <t>AASHTO Zone1 Formula</t>
  </si>
  <si>
    <t>for each speed</t>
  </si>
  <si>
    <t>AdjZone2</t>
  </si>
  <si>
    <t>Same Process</t>
  </si>
  <si>
    <t>AASHTO Zone 2 Formula</t>
  </si>
  <si>
    <t>AdjZone3</t>
  </si>
  <si>
    <t>AASHTO Zone 3 Formula</t>
  </si>
  <si>
    <t>OppZone1</t>
  </si>
  <si>
    <t>Opposite Direction</t>
  </si>
  <si>
    <t>Increase offset to hazard</t>
  </si>
  <si>
    <t>if from opposing direction</t>
  </si>
  <si>
    <t>OppZone2</t>
  </si>
  <si>
    <t>OppZone3</t>
  </si>
  <si>
    <t>EconomicFactor</t>
  </si>
  <si>
    <t>Median Four Lane Analysis</t>
  </si>
  <si>
    <t>Roadside Four Lane Analysis</t>
  </si>
  <si>
    <t>Average Daily Traffic</t>
  </si>
  <si>
    <t>Multilane</t>
  </si>
  <si>
    <t>Median Six Lane Analysis</t>
  </si>
  <si>
    <t>4 lane roadside lookups</t>
  </si>
  <si>
    <t>6 lane roadside lookups</t>
  </si>
  <si>
    <t>4 lane median lookups</t>
  </si>
  <si>
    <t>6 lane median lookups</t>
  </si>
  <si>
    <t>Slope Factors</t>
  </si>
  <si>
    <t>Slope</t>
  </si>
  <si>
    <t>Fill</t>
  </si>
  <si>
    <t>Cut</t>
  </si>
  <si>
    <t>SlopeFactors</t>
  </si>
  <si>
    <t>AASHTO</t>
  </si>
  <si>
    <t>Roadside</t>
  </si>
  <si>
    <t>Design</t>
  </si>
  <si>
    <t>Guide</t>
  </si>
  <si>
    <t>Table A.2</t>
  </si>
  <si>
    <t xml:space="preserve">SEVERITY </t>
  </si>
  <si>
    <t>PDO(1)</t>
  </si>
  <si>
    <t>PDO(2)</t>
  </si>
  <si>
    <t>SLIGHT</t>
  </si>
  <si>
    <t>MODERATE</t>
  </si>
  <si>
    <t>SEVERE</t>
  </si>
  <si>
    <t>FATALITY</t>
  </si>
  <si>
    <t>INDEX</t>
  </si>
  <si>
    <t>INJURY</t>
  </si>
  <si>
    <t>SItable</t>
  </si>
  <si>
    <t>Recognize Severity Index</t>
  </si>
  <si>
    <t>Recognize Severity Costs</t>
  </si>
  <si>
    <t>UpstreamSide</t>
  </si>
  <si>
    <t>Compute Costs for Severity Indices</t>
  </si>
  <si>
    <t>Returns result to worksheet</t>
  </si>
  <si>
    <t>Proportion Cost for Given Severity Index</t>
  </si>
  <si>
    <t>Recognize the only IF &gt; 0</t>
  </si>
  <si>
    <t>Return value to Cost-Effective Worksheet</t>
  </si>
  <si>
    <t>State of Alaska, Department of Transportation &amp; Public Facilities</t>
  </si>
  <si>
    <t>PROJECT:</t>
  </si>
  <si>
    <t>OPTION:</t>
  </si>
  <si>
    <t>DATE:</t>
  </si>
  <si>
    <t>TRAFFIC INPUT</t>
  </si>
  <si>
    <t>Resulting</t>
  </si>
  <si>
    <t>Design Year ADT</t>
  </si>
  <si>
    <t>Average Daily Traffic (ADT)</t>
  </si>
  <si>
    <t>veh/day</t>
  </si>
  <si>
    <t>Traffic Growth Factor</t>
  </si>
  <si>
    <t>%</t>
  </si>
  <si>
    <t xml:space="preserve">Speed </t>
  </si>
  <si>
    <t>mph</t>
  </si>
  <si>
    <t>Grade ( + = uphill ,- = downhill )</t>
  </si>
  <si>
    <t xml:space="preserve">Degree of Curve (+= inside, -= outside ) </t>
  </si>
  <si>
    <t>degrees</t>
  </si>
  <si>
    <t>No. of  Lanes Each Direction</t>
  </si>
  <si>
    <t xml:space="preserve">lanes </t>
  </si>
  <si>
    <t>Lane Width</t>
  </si>
  <si>
    <t>ft</t>
  </si>
  <si>
    <t>Swath Width</t>
  </si>
  <si>
    <t>Highway Type</t>
  </si>
  <si>
    <t>U</t>
  </si>
  <si>
    <t>U,D, or O</t>
  </si>
  <si>
    <t>Median or Roadside Analysis?</t>
  </si>
  <si>
    <t>R</t>
  </si>
  <si>
    <t>M or R</t>
  </si>
  <si>
    <t>Adjacent Lane User Factor</t>
  </si>
  <si>
    <t>Opposing Lane User Factor</t>
  </si>
  <si>
    <t>ECONOMIC INPUT</t>
  </si>
  <si>
    <t>Period ( n )</t>
  </si>
  <si>
    <t>years</t>
  </si>
  <si>
    <t>Interest Rate  ( i )</t>
  </si>
  <si>
    <t>ROADSIDE MODEL INPUT</t>
  </si>
  <si>
    <t xml:space="preserve">Slope A or Obstacle </t>
  </si>
  <si>
    <t>Slope B or Obstacle</t>
  </si>
  <si>
    <t>Slope C or Obstacle</t>
  </si>
  <si>
    <t>Slope D or Obstacle</t>
  </si>
  <si>
    <t>Slope E or Obstacle</t>
  </si>
  <si>
    <t>Fill,Cut, or Obstacle (F,C, or O)</t>
  </si>
  <si>
    <t>O</t>
  </si>
  <si>
    <t>Slope Rate (X where X:1 ft/ft)</t>
  </si>
  <si>
    <t>Offset to Slope/Obstacle (ft)</t>
  </si>
  <si>
    <t>Slope/Obstacle Width (ft)</t>
  </si>
  <si>
    <t>Slope/Obstacle Length (ft)</t>
  </si>
  <si>
    <t>Effective Offset (computed)</t>
  </si>
  <si>
    <t>SEVERITY INDEX INPUT</t>
  </si>
  <si>
    <t>Upstream Side</t>
  </si>
  <si>
    <t>Upstream Corner</t>
  </si>
  <si>
    <t>Face</t>
  </si>
  <si>
    <t>Downstream Corner</t>
  </si>
  <si>
    <t>Downstream Side</t>
  </si>
  <si>
    <t>ACCIDENT PREDICTION OUTPUT</t>
  </si>
  <si>
    <t xml:space="preserve">     Total Impacts at Outer Edge of Model</t>
  </si>
  <si>
    <t>Initial Impacts Per Year</t>
  </si>
  <si>
    <t>impacts per year</t>
  </si>
  <si>
    <t>Impacts Over Project Life</t>
  </si>
  <si>
    <t>impacts over project life</t>
  </si>
  <si>
    <t xml:space="preserve"> </t>
  </si>
  <si>
    <t>PROJECT COST INPUT</t>
  </si>
  <si>
    <t>PROJECT COSTS OUTPUT</t>
  </si>
  <si>
    <t>INSTALLATION COSTS</t>
  </si>
  <si>
    <t>Present</t>
  </si>
  <si>
    <t>Annual</t>
  </si>
  <si>
    <t>Design Costs</t>
  </si>
  <si>
    <t>Worth</t>
  </si>
  <si>
    <t>Costs</t>
  </si>
  <si>
    <t>Right-of-Way Cost</t>
  </si>
  <si>
    <t>Installation</t>
  </si>
  <si>
    <t>Utilities Costs</t>
  </si>
  <si>
    <t>Routine Maintenance</t>
  </si>
  <si>
    <t>Construction Costs</t>
  </si>
  <si>
    <t>Salvage Value (Future)</t>
  </si>
  <si>
    <t>TOTAL INSTALLATION COSTS</t>
  </si>
  <si>
    <t>Adjacent Accidents</t>
  </si>
  <si>
    <t>ANNUAL MAINTENANCE</t>
  </si>
  <si>
    <t>Opposing Accidents</t>
  </si>
  <si>
    <t>SALVAGE VALUE (Present)</t>
  </si>
  <si>
    <t>Repairs due to Adjacent Accidents</t>
  </si>
  <si>
    <t>Repairs due to Opposite Accidents</t>
  </si>
  <si>
    <t>DAMAGE COSTS PER ACCIDENT</t>
  </si>
  <si>
    <t>SUBTOTALS</t>
  </si>
  <si>
    <t>Net Costs to Public</t>
  </si>
  <si>
    <t>Net Costs to Department</t>
  </si>
  <si>
    <t>TOTAL COSTS (Rounded)</t>
  </si>
  <si>
    <t>Project Life</t>
  </si>
  <si>
    <t>Per Year</t>
  </si>
  <si>
    <t>BACKGROUND  ROADSIDE MODEL COMPUTATIONS</t>
  </si>
  <si>
    <t>COMPUTED COST FACTORS</t>
  </si>
  <si>
    <t>WILLINGNESS-TO-PAY COSTS</t>
  </si>
  <si>
    <t>Severity Code</t>
  </si>
  <si>
    <t>USDOT VSL (2008 $)</t>
  </si>
  <si>
    <t>GDP Implicit Price Deflator</t>
  </si>
  <si>
    <t>Capitol Recovery Factor</t>
  </si>
  <si>
    <t>A/P</t>
  </si>
  <si>
    <t>Fatality</t>
  </si>
  <si>
    <t>K</t>
  </si>
  <si>
    <t>Sinking Fund Factor</t>
  </si>
  <si>
    <t>A/F</t>
  </si>
  <si>
    <t>Incapacitating Injury</t>
  </si>
  <si>
    <t>A</t>
  </si>
  <si>
    <t>Single Payment Compound Amount Factor</t>
  </si>
  <si>
    <t>F/P</t>
  </si>
  <si>
    <t>Nonincapacitating Injury</t>
  </si>
  <si>
    <t>B</t>
  </si>
  <si>
    <t>Economic Factor</t>
  </si>
  <si>
    <t>Kc</t>
  </si>
  <si>
    <t>Possible Injury</t>
  </si>
  <si>
    <t>C</t>
  </si>
  <si>
    <t>Property Damage Only</t>
  </si>
  <si>
    <t>ASSOCIATED ACCIDENT COSTS</t>
  </si>
  <si>
    <t>ENCROACHMENT RATE</t>
  </si>
  <si>
    <t>Adjacent Traffic</t>
  </si>
  <si>
    <t>Opposing Traffic</t>
  </si>
  <si>
    <t>Opposing</t>
  </si>
  <si>
    <t>Encroachment Angle (degr)</t>
  </si>
  <si>
    <t>Median</t>
  </si>
  <si>
    <t>Baseline Encr. Frequency</t>
  </si>
  <si>
    <t>Encroachments?</t>
  </si>
  <si>
    <t>Curve Adjustment Factor</t>
  </si>
  <si>
    <t>Grade Adjustment Factor</t>
  </si>
  <si>
    <t>Multilane Adjustment Factor</t>
  </si>
  <si>
    <t>User Factor</t>
  </si>
  <si>
    <t>Total Encroachments</t>
  </si>
  <si>
    <t>Zone Length A</t>
  </si>
  <si>
    <t>Zone Length B</t>
  </si>
  <si>
    <t>Zone Length C</t>
  </si>
  <si>
    <t>Zone Length D</t>
  </si>
  <si>
    <t>Zone Length E</t>
  </si>
  <si>
    <t>Zone 1</t>
  </si>
  <si>
    <t>Zone 2</t>
  </si>
  <si>
    <t>Zone 3</t>
  </si>
  <si>
    <t>Total</t>
  </si>
  <si>
    <t>Encroachment Frequency A</t>
  </si>
  <si>
    <t>Encroachment Frequency B</t>
  </si>
  <si>
    <t>Encroachment Frequency C</t>
  </si>
  <si>
    <t>Encroachment Frequency D</t>
  </si>
  <si>
    <t>Encroachment Frequency E</t>
  </si>
  <si>
    <t>Lateral Extent Probability A</t>
  </si>
  <si>
    <t>Lateral Extent Probability B</t>
  </si>
  <si>
    <t>Lateral Extent Probability C</t>
  </si>
  <si>
    <t>Lateral Extent Probability D</t>
  </si>
  <si>
    <t>Lateral Extent Probability E</t>
  </si>
  <si>
    <t>Collision Frequency (impacts/ yr)A</t>
  </si>
  <si>
    <t>Collision Frequency (impacts/ yr)B</t>
  </si>
  <si>
    <t>Collision Frequency (impacts/ yr)C</t>
  </si>
  <si>
    <t>Collision Frequency (impacts/ yr)D</t>
  </si>
  <si>
    <t>Collision Frequency (impacts/ yr)E</t>
  </si>
  <si>
    <t>Accident Costs per year A</t>
  </si>
  <si>
    <t>Accident Costs per year B</t>
  </si>
  <si>
    <t>Accident Costs per year C</t>
  </si>
  <si>
    <t>Accident Costs per year D</t>
  </si>
  <si>
    <t>Accident Costs per year E</t>
  </si>
  <si>
    <t>Total Initial Accident Costs First Year</t>
  </si>
  <si>
    <t>ROADSIDE ZONE GENERAL CHARACTERISTICS</t>
  </si>
  <si>
    <t>Totals</t>
  </si>
  <si>
    <t>Impacts per year</t>
  </si>
  <si>
    <t>Impacts over Project Life</t>
  </si>
  <si>
    <t>Initial Accident Costs</t>
  </si>
  <si>
    <t>per year</t>
  </si>
  <si>
    <t>http://dot.alaska.gov/stwddes/dcsprecon/index.shtml</t>
  </si>
  <si>
    <t>..\Severity_Indices\1996RDG-AppA Severities mph_ft.pdf</t>
  </si>
  <si>
    <t>(Link for DOTPF internal use)</t>
  </si>
  <si>
    <t>Water</t>
  </si>
  <si>
    <t>Culvert</t>
  </si>
  <si>
    <t>2022 WTP Costs</t>
  </si>
  <si>
    <t>"aLASKA"</t>
  </si>
  <si>
    <t>Partial Year</t>
  </si>
  <si>
    <t>Work Zone Test Case</t>
  </si>
  <si>
    <t xml:space="preserve">meters </t>
  </si>
  <si>
    <t>Width</t>
  </si>
  <si>
    <t>Height</t>
  </si>
  <si>
    <t>predicted work zone impacts</t>
  </si>
  <si>
    <t>Speed</t>
  </si>
  <si>
    <t>ADT</t>
  </si>
  <si>
    <t>mi</t>
  </si>
  <si>
    <t>hr</t>
  </si>
  <si>
    <t>m</t>
  </si>
  <si>
    <t>km</t>
  </si>
  <si>
    <t>=</t>
  </si>
  <si>
    <t>kmh</t>
  </si>
  <si>
    <t>vpd</t>
  </si>
  <si>
    <t>SI</t>
  </si>
  <si>
    <t>Vertical (PDF A-48)</t>
  </si>
  <si>
    <t>No water</t>
  </si>
  <si>
    <t>Interpolated</t>
  </si>
  <si>
    <t xml:space="preserve">AASHTO </t>
  </si>
  <si>
    <t>With water</t>
  </si>
  <si>
    <t>1.5:1</t>
  </si>
  <si>
    <t>(PDF A-45</t>
  </si>
  <si>
    <t>C-06 Ht</t>
  </si>
  <si>
    <t>Surf Cond B</t>
  </si>
  <si>
    <t>&gt;=3 ft deep</t>
  </si>
  <si>
    <t>Public x %</t>
  </si>
  <si>
    <t>+Dept install</t>
  </si>
  <si>
    <t>Work zone=</t>
  </si>
  <si>
    <t>1 yr</t>
  </si>
  <si>
    <r>
      <t>Cost-Effective Analysis Procedure</t>
    </r>
    <r>
      <rPr>
        <b/>
        <i/>
        <sz val="8"/>
        <rFont val="Arial"/>
        <family val="2"/>
      </rPr>
      <t xml:space="preserve"> </t>
    </r>
  </si>
  <si>
    <t>(Ver 2.0 revised 12/99; updated 5/19, 2/21, 2/15/23)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</si>
</sst>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0000"/>
    <numFmt numFmtId="168" formatCode="0.000"/>
    <numFmt numFmtId="169" formatCode="0.0"/>
  </numFmts>
  <fonts count="69"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Geneva"/>
      <family val="0"/>
    </font>
    <font>
      <sz val="10"/>
      <name val="Helv"/>
      <family val="0"/>
    </font>
    <font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sz val="10"/>
      <name val="Helv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i/>
      <sz val="10"/>
      <name val="Geneva"/>
      <family val="0"/>
    </font>
    <font>
      <sz val="9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0"/>
      <color indexed="10"/>
      <name val="Helv"/>
      <family val="0"/>
    </font>
    <font>
      <sz val="8"/>
      <color indexed="8"/>
      <name val="Arial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  <font>
      <sz val="10"/>
      <color rgb="FFFF0000"/>
      <name val="Helv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5"/>
      </patternFill>
    </fill>
    <fill>
      <patternFill patternType="gray125">
        <fgColor indexed="15"/>
      </patternFill>
    </fill>
    <fill>
      <patternFill patternType="gray0625">
        <fgColor indexed="13"/>
      </patternFill>
    </fill>
    <fill>
      <patternFill patternType="gray0625">
        <fgColor indexed="15"/>
        <bgColor theme="0" tint="-0.4999699890613556"/>
      </patternFill>
    </fill>
    <fill>
      <patternFill patternType="gray0625">
        <fgColor indexed="13"/>
        <bgColor theme="0" tint="-0.4999699890613556"/>
      </patternFill>
    </fill>
    <fill>
      <patternFill patternType="solid">
        <fgColor theme="0" tint="-0.4999699890613556"/>
        <bgColor indexed="64"/>
      </patternFill>
    </fill>
    <fill>
      <patternFill patternType="gray0625">
        <fgColor indexed="13"/>
        <bgColor rgb="FFFFC000"/>
      </patternFill>
    </fill>
    <fill>
      <patternFill patternType="solid">
        <fgColor rgb="FFFFC000"/>
        <bgColor indexed="64"/>
      </patternFill>
    </fill>
    <fill>
      <patternFill patternType="gray0625">
        <fgColor indexed="13"/>
        <bgColor rgb="FFFFFF00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ck"/>
      <right style="thick"/>
      <top style="thick"/>
      <bottom/>
    </border>
    <border>
      <left style="thin"/>
      <right style="medium"/>
      <top/>
      <bottom/>
    </border>
    <border>
      <left style="thick"/>
      <right style="thick"/>
      <top/>
      <bottom/>
    </border>
    <border>
      <left/>
      <right style="medium"/>
      <top/>
      <bottom/>
    </border>
    <border>
      <left style="thick"/>
      <right style="thick"/>
      <top/>
      <bottom style="thick"/>
    </border>
    <border>
      <left style="thin"/>
      <right style="medium"/>
      <top/>
      <bottom style="medium"/>
    </border>
    <border>
      <left style="thick"/>
      <right/>
      <top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/>
      <top/>
      <bottom style="thick"/>
    </border>
    <border>
      <left style="thin"/>
      <right/>
      <top/>
      <bottom style="thick"/>
    </border>
    <border>
      <left style="thin"/>
      <right style="thick"/>
      <top/>
      <bottom style="thick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ck"/>
      <right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ck"/>
      <top style="thick"/>
      <bottom/>
    </border>
    <border>
      <left>
        <color indexed="63"/>
      </left>
      <right style="thick"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14" fontId="13" fillId="0" borderId="0" xfId="0" applyNumberFormat="1" applyFont="1" applyFill="1" applyBorder="1" applyAlignment="1" applyProtection="1">
      <alignment horizontal="right"/>
      <protection hidden="1"/>
    </xf>
    <xf numFmtId="18" fontId="13" fillId="0" borderId="0" xfId="0" applyNumberFormat="1" applyFont="1" applyFill="1" applyBorder="1" applyAlignment="1" applyProtection="1">
      <alignment/>
      <protection hidden="1"/>
    </xf>
    <xf numFmtId="0" fontId="10" fillId="33" borderId="16" xfId="0" applyFont="1" applyFill="1" applyBorder="1" applyAlignment="1" applyProtection="1">
      <alignment/>
      <protection hidden="1"/>
    </xf>
    <xf numFmtId="0" fontId="10" fillId="33" borderId="17" xfId="0" applyFont="1" applyFill="1" applyBorder="1" applyAlignment="1" applyProtection="1">
      <alignment/>
      <protection hidden="1"/>
    </xf>
    <xf numFmtId="0" fontId="10" fillId="33" borderId="18" xfId="0" applyFont="1" applyFill="1" applyBorder="1" applyAlignment="1" applyProtection="1">
      <alignment/>
      <protection hidden="1"/>
    </xf>
    <xf numFmtId="0" fontId="14" fillId="34" borderId="19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hidden="1"/>
    </xf>
    <xf numFmtId="0" fontId="10" fillId="33" borderId="21" xfId="0" applyFont="1" applyFill="1" applyBorder="1" applyAlignment="1" applyProtection="1">
      <alignment/>
      <protection hidden="1"/>
    </xf>
    <xf numFmtId="0" fontId="10" fillId="33" borderId="22" xfId="0" applyFont="1" applyFill="1" applyBorder="1" applyAlignment="1" applyProtection="1">
      <alignment/>
      <protection hidden="1"/>
    </xf>
    <xf numFmtId="0" fontId="14" fillId="34" borderId="23" xfId="0" applyFont="1" applyFill="1" applyBorder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0" fillId="35" borderId="24" xfId="0" applyFont="1" applyFill="1" applyBorder="1" applyAlignment="1" applyProtection="1">
      <alignment/>
      <protection hidden="1"/>
    </xf>
    <xf numFmtId="0" fontId="15" fillId="35" borderId="0" xfId="0" applyFont="1" applyFill="1" applyBorder="1" applyAlignment="1" applyProtection="1">
      <alignment/>
      <protection hidden="1"/>
    </xf>
    <xf numFmtId="0" fontId="15" fillId="35" borderId="25" xfId="0" applyFont="1" applyFill="1" applyBorder="1" applyAlignment="1" applyProtection="1">
      <alignment/>
      <protection hidden="1"/>
    </xf>
    <xf numFmtId="0" fontId="15" fillId="0" borderId="26" xfId="0" applyFont="1" applyFill="1" applyBorder="1" applyAlignment="1" applyProtection="1">
      <alignment/>
      <protection locked="0"/>
    </xf>
    <xf numFmtId="0" fontId="10" fillId="35" borderId="27" xfId="0" applyFont="1" applyFill="1" applyBorder="1" applyAlignment="1" applyProtection="1">
      <alignment horizontal="center"/>
      <protection hidden="1"/>
    </xf>
    <xf numFmtId="3" fontId="14" fillId="35" borderId="23" xfId="0" applyNumberFormat="1" applyFont="1" applyFill="1" applyBorder="1" applyAlignment="1" applyProtection="1">
      <alignment horizontal="center"/>
      <protection hidden="1"/>
    </xf>
    <xf numFmtId="1" fontId="15" fillId="0" borderId="28" xfId="0" applyNumberFormat="1" applyFont="1" applyFill="1" applyBorder="1" applyAlignment="1" applyProtection="1">
      <alignment/>
      <protection locked="0"/>
    </xf>
    <xf numFmtId="0" fontId="15" fillId="0" borderId="28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hidden="1"/>
    </xf>
    <xf numFmtId="0" fontId="13" fillId="35" borderId="24" xfId="0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 horizontal="right"/>
      <protection hidden="1"/>
    </xf>
    <xf numFmtId="0" fontId="16" fillId="35" borderId="24" xfId="0" applyFont="1" applyFill="1" applyBorder="1" applyAlignment="1" applyProtection="1">
      <alignment/>
      <protection hidden="1"/>
    </xf>
    <xf numFmtId="0" fontId="15" fillId="0" borderId="28" xfId="0" applyFont="1" applyFill="1" applyBorder="1" applyAlignment="1" applyProtection="1">
      <alignment horizontal="right"/>
      <protection locked="0"/>
    </xf>
    <xf numFmtId="2" fontId="15" fillId="0" borderId="28" xfId="0" applyNumberFormat="1" applyFont="1" applyFill="1" applyBorder="1" applyAlignment="1" applyProtection="1">
      <alignment horizontal="right"/>
      <protection locked="0"/>
    </xf>
    <xf numFmtId="0" fontId="10" fillId="35" borderId="29" xfId="0" applyFont="1" applyFill="1" applyBorder="1" applyAlignment="1" applyProtection="1">
      <alignment horizontal="center"/>
      <protection hidden="1"/>
    </xf>
    <xf numFmtId="0" fontId="10" fillId="35" borderId="20" xfId="0" applyFont="1" applyFill="1" applyBorder="1" applyAlignment="1" applyProtection="1">
      <alignment/>
      <protection hidden="1"/>
    </xf>
    <xf numFmtId="0" fontId="2" fillId="35" borderId="21" xfId="0" applyFont="1" applyFill="1" applyBorder="1" applyAlignment="1" applyProtection="1">
      <alignment/>
      <protection hidden="1"/>
    </xf>
    <xf numFmtId="2" fontId="17" fillId="0" borderId="30" xfId="0" applyNumberFormat="1" applyFont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0" fillId="34" borderId="16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5" fillId="34" borderId="17" xfId="0" applyFont="1" applyFill="1" applyBorder="1" applyAlignment="1" applyProtection="1">
      <alignment/>
      <protection hidden="1"/>
    </xf>
    <xf numFmtId="0" fontId="15" fillId="34" borderId="18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0" fillId="34" borderId="20" xfId="0" applyFont="1" applyFill="1" applyBorder="1" applyAlignment="1" applyProtection="1">
      <alignment/>
      <protection hidden="1"/>
    </xf>
    <xf numFmtId="0" fontId="10" fillId="34" borderId="21" xfId="0" applyFont="1" applyFill="1" applyBorder="1" applyAlignment="1" applyProtection="1">
      <alignment/>
      <protection hidden="1"/>
    </xf>
    <xf numFmtId="0" fontId="15" fillId="34" borderId="21" xfId="0" applyFont="1" applyFill="1" applyBorder="1" applyAlignment="1" applyProtection="1">
      <alignment/>
      <protection hidden="1"/>
    </xf>
    <xf numFmtId="0" fontId="15" fillId="34" borderId="22" xfId="0" applyFont="1" applyFill="1" applyBorder="1" applyAlignment="1" applyProtection="1">
      <alignment/>
      <protection hidden="1"/>
    </xf>
    <xf numFmtId="0" fontId="15" fillId="35" borderId="21" xfId="0" applyFont="1" applyFill="1" applyBorder="1" applyAlignment="1" applyProtection="1">
      <alignment/>
      <protection hidden="1"/>
    </xf>
    <xf numFmtId="0" fontId="15" fillId="0" borderId="30" xfId="0" applyFont="1" applyFill="1" applyBorder="1" applyAlignment="1" applyProtection="1">
      <alignment/>
      <protection locked="0"/>
    </xf>
    <xf numFmtId="0" fontId="10" fillId="35" borderId="3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34" borderId="17" xfId="0" applyFont="1" applyFill="1" applyBorder="1" applyAlignment="1" applyProtection="1">
      <alignment horizontal="center"/>
      <protection hidden="1"/>
    </xf>
    <xf numFmtId="0" fontId="15" fillId="34" borderId="18" xfId="0" applyFont="1" applyFill="1" applyBorder="1" applyAlignment="1" applyProtection="1">
      <alignment horizontal="center"/>
      <protection hidden="1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0" borderId="17" xfId="0" applyFont="1" applyFill="1" applyBorder="1" applyAlignment="1" applyProtection="1">
      <alignment/>
      <protection hidden="1"/>
    </xf>
    <xf numFmtId="5" fontId="15" fillId="0" borderId="17" xfId="0" applyNumberFormat="1" applyFont="1" applyFill="1" applyBorder="1" applyAlignment="1" applyProtection="1">
      <alignment horizontal="right"/>
      <protection hidden="1"/>
    </xf>
    <xf numFmtId="0" fontId="15" fillId="0" borderId="18" xfId="0" applyFont="1" applyBorder="1" applyAlignment="1" applyProtection="1">
      <alignment/>
      <protection hidden="1"/>
    </xf>
    <xf numFmtId="0" fontId="15" fillId="34" borderId="21" xfId="0" applyFont="1" applyFill="1" applyBorder="1" applyAlignment="1" applyProtection="1">
      <alignment horizontal="center"/>
      <protection hidden="1"/>
    </xf>
    <xf numFmtId="0" fontId="15" fillId="34" borderId="22" xfId="0" applyFont="1" applyFill="1" applyBorder="1" applyAlignment="1" applyProtection="1">
      <alignment horizontal="center"/>
      <protection hidden="1"/>
    </xf>
    <xf numFmtId="0" fontId="15" fillId="0" borderId="24" xfId="0" applyFont="1" applyFill="1" applyBorder="1" applyAlignment="1" applyProtection="1">
      <alignment horizontal="center"/>
      <protection hidden="1"/>
    </xf>
    <xf numFmtId="5" fontId="15" fillId="0" borderId="0" xfId="0" applyNumberFormat="1" applyFont="1" applyFill="1" applyBorder="1" applyAlignment="1" applyProtection="1">
      <alignment horizontal="right"/>
      <protection hidden="1"/>
    </xf>
    <xf numFmtId="0" fontId="15" fillId="0" borderId="29" xfId="0" applyFont="1" applyBorder="1" applyAlignment="1" applyProtection="1">
      <alignment/>
      <protection hidden="1"/>
    </xf>
    <xf numFmtId="0" fontId="15" fillId="0" borderId="32" xfId="0" applyFont="1" applyFill="1" applyBorder="1" applyAlignment="1" applyProtection="1">
      <alignment/>
      <protection locked="0"/>
    </xf>
    <xf numFmtId="0" fontId="15" fillId="0" borderId="33" xfId="0" applyFont="1" applyFill="1" applyBorder="1" applyAlignment="1" applyProtection="1">
      <alignment/>
      <protection locked="0"/>
    </xf>
    <xf numFmtId="0" fontId="15" fillId="0" borderId="34" xfId="0" applyFont="1" applyFill="1" applyBorder="1" applyAlignment="1" applyProtection="1">
      <alignment/>
      <protection locked="0"/>
    </xf>
    <xf numFmtId="0" fontId="10" fillId="35" borderId="24" xfId="0" applyFont="1" applyFill="1" applyBorder="1" applyAlignment="1" applyProtection="1">
      <alignment horizontal="left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0" fontId="15" fillId="0" borderId="35" xfId="0" applyFont="1" applyFill="1" applyBorder="1" applyAlignment="1" applyProtection="1">
      <alignment/>
      <protection locked="0"/>
    </xf>
    <xf numFmtId="0" fontId="15" fillId="0" borderId="36" xfId="0" applyFont="1" applyFill="1" applyBorder="1" applyAlignment="1" applyProtection="1">
      <alignment/>
      <protection locked="0"/>
    </xf>
    <xf numFmtId="0" fontId="15" fillId="0" borderId="37" xfId="0" applyFont="1" applyFill="1" applyBorder="1" applyAlignment="1" applyProtection="1">
      <alignment/>
      <protection locked="0"/>
    </xf>
    <xf numFmtId="0" fontId="16" fillId="34" borderId="38" xfId="0" applyFont="1" applyFill="1" applyBorder="1" applyAlignment="1" applyProtection="1">
      <alignment horizontal="left"/>
      <protection hidden="1"/>
    </xf>
    <xf numFmtId="0" fontId="15" fillId="34" borderId="39" xfId="0" applyFont="1" applyFill="1" applyBorder="1" applyAlignment="1" applyProtection="1">
      <alignment horizontal="left"/>
      <protection hidden="1"/>
    </xf>
    <xf numFmtId="0" fontId="10" fillId="34" borderId="19" xfId="0" applyFont="1" applyFill="1" applyBorder="1" applyAlignment="1" applyProtection="1">
      <alignment/>
      <protection hidden="1"/>
    </xf>
    <xf numFmtId="0" fontId="10" fillId="34" borderId="40" xfId="0" applyFont="1" applyFill="1" applyBorder="1" applyAlignment="1" applyProtection="1">
      <alignment/>
      <protection hidden="1"/>
    </xf>
    <xf numFmtId="0" fontId="10" fillId="34" borderId="24" xfId="0" applyFont="1" applyFill="1" applyBorder="1" applyAlignment="1" applyProtection="1">
      <alignment horizontal="left"/>
      <protection hidden="1"/>
    </xf>
    <xf numFmtId="0" fontId="15" fillId="34" borderId="0" xfId="0" applyFont="1" applyFill="1" applyBorder="1" applyAlignment="1" applyProtection="1">
      <alignment horizontal="left"/>
      <protection hidden="1"/>
    </xf>
    <xf numFmtId="0" fontId="15" fillId="34" borderId="13" xfId="0" applyFont="1" applyFill="1" applyBorder="1" applyAlignment="1" applyProtection="1">
      <alignment/>
      <protection hidden="1"/>
    </xf>
    <xf numFmtId="0" fontId="15" fillId="34" borderId="27" xfId="0" applyFont="1" applyFill="1" applyBorder="1" applyAlignment="1" applyProtection="1">
      <alignment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10" fillId="35" borderId="40" xfId="0" applyFont="1" applyFill="1" applyBorder="1" applyAlignment="1" applyProtection="1">
      <alignment horizontal="center" vertical="center" wrapText="1"/>
      <protection hidden="1"/>
    </xf>
    <xf numFmtId="0" fontId="15" fillId="35" borderId="23" xfId="0" applyFont="1" applyFill="1" applyBorder="1" applyAlignment="1" applyProtection="1">
      <alignment/>
      <protection hidden="1"/>
    </xf>
    <xf numFmtId="0" fontId="15" fillId="35" borderId="41" xfId="0" applyFont="1" applyFill="1" applyBorder="1" applyAlignment="1" applyProtection="1">
      <alignment/>
      <protection hidden="1"/>
    </xf>
    <xf numFmtId="0" fontId="15" fillId="0" borderId="42" xfId="0" applyFont="1" applyFill="1" applyBorder="1" applyAlignment="1" applyProtection="1">
      <alignment/>
      <protection locked="0"/>
    </xf>
    <xf numFmtId="0" fontId="15" fillId="0" borderId="43" xfId="0" applyFont="1" applyFill="1" applyBorder="1" applyAlignment="1" applyProtection="1">
      <alignment/>
      <protection locked="0"/>
    </xf>
    <xf numFmtId="0" fontId="15" fillId="0" borderId="44" xfId="0" applyFont="1" applyFill="1" applyBorder="1" applyAlignment="1" applyProtection="1">
      <alignment/>
      <protection locked="0"/>
    </xf>
    <xf numFmtId="0" fontId="15" fillId="0" borderId="20" xfId="0" applyFont="1" applyBorder="1" applyAlignment="1" applyProtection="1">
      <alignment/>
      <protection hidden="1"/>
    </xf>
    <xf numFmtId="0" fontId="15" fillId="0" borderId="21" xfId="0" applyFont="1" applyFill="1" applyBorder="1" applyAlignment="1" applyProtection="1">
      <alignment/>
      <protection hidden="1"/>
    </xf>
    <xf numFmtId="5" fontId="15" fillId="0" borderId="21" xfId="0" applyNumberFormat="1" applyFont="1" applyFill="1" applyBorder="1" applyAlignment="1" applyProtection="1">
      <alignment horizontal="right"/>
      <protection hidden="1"/>
    </xf>
    <xf numFmtId="0" fontId="15" fillId="0" borderId="22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10" fillId="35" borderId="0" xfId="0" applyFont="1" applyFill="1" applyAlignment="1" applyProtection="1">
      <alignment/>
      <protection hidden="1"/>
    </xf>
    <xf numFmtId="0" fontId="10" fillId="35" borderId="45" xfId="0" applyFont="1" applyFill="1" applyBorder="1" applyAlignment="1" applyProtection="1">
      <alignment horizontal="center" vertical="center" wrapText="1"/>
      <protection hidden="1"/>
    </xf>
    <xf numFmtId="0" fontId="10" fillId="35" borderId="46" xfId="0" applyFont="1" applyFill="1" applyBorder="1" applyAlignment="1" applyProtection="1">
      <alignment horizontal="left" vertical="center"/>
      <protection hidden="1"/>
    </xf>
    <xf numFmtId="0" fontId="15" fillId="35" borderId="46" xfId="0" applyFont="1" applyFill="1" applyBorder="1" applyAlignment="1" applyProtection="1">
      <alignment/>
      <protection hidden="1"/>
    </xf>
    <xf numFmtId="0" fontId="15" fillId="35" borderId="47" xfId="0" applyFont="1" applyFill="1" applyBorder="1" applyAlignment="1" applyProtection="1">
      <alignment/>
      <protection hidden="1"/>
    </xf>
    <xf numFmtId="164" fontId="15" fillId="35" borderId="13" xfId="0" applyNumberFormat="1" applyFont="1" applyFill="1" applyBorder="1" applyAlignment="1" applyProtection="1">
      <alignment/>
      <protection hidden="1"/>
    </xf>
    <xf numFmtId="164" fontId="10" fillId="35" borderId="0" xfId="0" applyNumberFormat="1" applyFont="1" applyFill="1" applyBorder="1" applyAlignment="1" applyProtection="1">
      <alignment horizontal="right"/>
      <protection hidden="1"/>
    </xf>
    <xf numFmtId="0" fontId="10" fillId="35" borderId="29" xfId="0" applyFont="1" applyFill="1" applyBorder="1" applyAlignment="1" applyProtection="1">
      <alignment/>
      <protection hidden="1"/>
    </xf>
    <xf numFmtId="164" fontId="15" fillId="35" borderId="15" xfId="0" applyNumberFormat="1" applyFont="1" applyFill="1" applyBorder="1" applyAlignment="1" applyProtection="1">
      <alignment/>
      <protection hidden="1"/>
    </xf>
    <xf numFmtId="164" fontId="10" fillId="35" borderId="21" xfId="0" applyNumberFormat="1" applyFont="1" applyFill="1" applyBorder="1" applyAlignment="1" applyProtection="1">
      <alignment horizontal="right"/>
      <protection hidden="1"/>
    </xf>
    <xf numFmtId="0" fontId="10" fillId="35" borderId="21" xfId="0" applyFont="1" applyFill="1" applyBorder="1" applyAlignment="1" applyProtection="1">
      <alignment/>
      <protection hidden="1"/>
    </xf>
    <xf numFmtId="0" fontId="15" fillId="35" borderId="22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0" fillId="34" borderId="48" xfId="0" applyFont="1" applyFill="1" applyBorder="1" applyAlignment="1" applyProtection="1">
      <alignment/>
      <protection hidden="1"/>
    </xf>
    <xf numFmtId="0" fontId="15" fillId="34" borderId="49" xfId="0" applyFont="1" applyFill="1" applyBorder="1" applyAlignment="1" applyProtection="1">
      <alignment/>
      <protection hidden="1"/>
    </xf>
    <xf numFmtId="0" fontId="10" fillId="34" borderId="49" xfId="0" applyFont="1" applyFill="1" applyBorder="1" applyAlignment="1" applyProtection="1">
      <alignment/>
      <protection hidden="1"/>
    </xf>
    <xf numFmtId="0" fontId="15" fillId="34" borderId="50" xfId="0" applyFont="1" applyFill="1" applyBorder="1" applyAlignment="1" applyProtection="1">
      <alignment/>
      <protection hidden="1"/>
    </xf>
    <xf numFmtId="0" fontId="13" fillId="35" borderId="13" xfId="0" applyFont="1" applyFill="1" applyBorder="1" applyAlignment="1" applyProtection="1">
      <alignment horizontal="center"/>
      <protection hidden="1"/>
    </xf>
    <xf numFmtId="0" fontId="13" fillId="35" borderId="27" xfId="0" applyFont="1" applyFill="1" applyBorder="1" applyAlignment="1" applyProtection="1">
      <alignment horizontal="center"/>
      <protection hidden="1"/>
    </xf>
    <xf numFmtId="5" fontId="15" fillId="0" borderId="26" xfId="0" applyNumberFormat="1" applyFont="1" applyFill="1" applyBorder="1" applyAlignment="1" applyProtection="1">
      <alignment/>
      <protection locked="0"/>
    </xf>
    <xf numFmtId="5" fontId="15" fillId="0" borderId="0" xfId="0" applyNumberFormat="1" applyFont="1" applyFill="1" applyBorder="1" applyAlignment="1" applyProtection="1">
      <alignment/>
      <protection hidden="1"/>
    </xf>
    <xf numFmtId="0" fontId="15" fillId="35" borderId="24" xfId="0" applyFont="1" applyFill="1" applyBorder="1" applyAlignment="1" applyProtection="1">
      <alignment/>
      <protection hidden="1"/>
    </xf>
    <xf numFmtId="0" fontId="13" fillId="35" borderId="23" xfId="0" applyFont="1" applyFill="1" applyBorder="1" applyAlignment="1" applyProtection="1">
      <alignment horizontal="center" wrapText="1"/>
      <protection hidden="1"/>
    </xf>
    <xf numFmtId="0" fontId="13" fillId="35" borderId="41" xfId="0" applyFont="1" applyFill="1" applyBorder="1" applyAlignment="1" applyProtection="1">
      <alignment horizontal="center" wrapText="1"/>
      <protection hidden="1"/>
    </xf>
    <xf numFmtId="5" fontId="15" fillId="0" borderId="28" xfId="0" applyNumberFormat="1" applyFont="1" applyFill="1" applyBorder="1" applyAlignment="1" applyProtection="1">
      <alignment/>
      <protection locked="0"/>
    </xf>
    <xf numFmtId="5" fontId="13" fillId="35" borderId="13" xfId="0" applyNumberFormat="1" applyFont="1" applyFill="1" applyBorder="1" applyAlignment="1" applyProtection="1">
      <alignment/>
      <protection hidden="1"/>
    </xf>
    <xf numFmtId="5" fontId="13" fillId="35" borderId="27" xfId="0" applyNumberFormat="1" applyFont="1" applyFill="1" applyBorder="1" applyAlignment="1" applyProtection="1">
      <alignment/>
      <protection hidden="1"/>
    </xf>
    <xf numFmtId="5" fontId="15" fillId="0" borderId="30" xfId="0" applyNumberFormat="1" applyFont="1" applyFill="1" applyBorder="1" applyAlignment="1" applyProtection="1">
      <alignment/>
      <protection locked="0"/>
    </xf>
    <xf numFmtId="0" fontId="10" fillId="34" borderId="48" xfId="0" applyFont="1" applyFill="1" applyBorder="1" applyAlignment="1" applyProtection="1">
      <alignment/>
      <protection hidden="1"/>
    </xf>
    <xf numFmtId="0" fontId="15" fillId="34" borderId="49" xfId="0" applyFont="1" applyFill="1" applyBorder="1" applyAlignment="1" applyProtection="1">
      <alignment/>
      <protection hidden="1"/>
    </xf>
    <xf numFmtId="0" fontId="10" fillId="34" borderId="51" xfId="0" applyFont="1" applyFill="1" applyBorder="1" applyAlignment="1" applyProtection="1">
      <alignment/>
      <protection hidden="1"/>
    </xf>
    <xf numFmtId="5" fontId="10" fillId="34" borderId="50" xfId="0" applyNumberFormat="1" applyFont="1" applyFill="1" applyBorder="1" applyAlignment="1" applyProtection="1">
      <alignment/>
      <protection hidden="1"/>
    </xf>
    <xf numFmtId="5" fontId="10" fillId="0" borderId="0" xfId="0" applyNumberFormat="1" applyFont="1" applyFill="1" applyAlignment="1" applyProtection="1">
      <alignment/>
      <protection hidden="1"/>
    </xf>
    <xf numFmtId="0" fontId="13" fillId="35" borderId="13" xfId="0" applyFont="1" applyFill="1" applyBorder="1" applyAlignment="1" applyProtection="1">
      <alignment/>
      <protection hidden="1"/>
    </xf>
    <xf numFmtId="0" fontId="10" fillId="35" borderId="25" xfId="0" applyFont="1" applyFill="1" applyBorder="1" applyAlignment="1" applyProtection="1">
      <alignment/>
      <protection hidden="1"/>
    </xf>
    <xf numFmtId="5" fontId="10" fillId="35" borderId="29" xfId="0" applyNumberFormat="1" applyFont="1" applyFill="1" applyBorder="1" applyAlignment="1" applyProtection="1">
      <alignment/>
      <protection hidden="1"/>
    </xf>
    <xf numFmtId="5" fontId="10" fillId="0" borderId="0" xfId="0" applyNumberFormat="1" applyFont="1" applyFill="1" applyBorder="1" applyAlignment="1" applyProtection="1">
      <alignment/>
      <protection hidden="1"/>
    </xf>
    <xf numFmtId="5" fontId="10" fillId="35" borderId="52" xfId="0" applyNumberFormat="1" applyFont="1" applyFill="1" applyBorder="1" applyAlignment="1" applyProtection="1">
      <alignment/>
      <protection hidden="1"/>
    </xf>
    <xf numFmtId="0" fontId="13" fillId="35" borderId="53" xfId="0" applyFont="1" applyFill="1" applyBorder="1" applyAlignment="1" applyProtection="1">
      <alignment/>
      <protection hidden="1"/>
    </xf>
    <xf numFmtId="0" fontId="15" fillId="35" borderId="54" xfId="0" applyFont="1" applyFill="1" applyBorder="1" applyAlignment="1" applyProtection="1">
      <alignment/>
      <protection hidden="1"/>
    </xf>
    <xf numFmtId="5" fontId="13" fillId="35" borderId="55" xfId="0" applyNumberFormat="1" applyFont="1" applyFill="1" applyBorder="1" applyAlignment="1" applyProtection="1">
      <alignment/>
      <protection hidden="1"/>
    </xf>
    <xf numFmtId="5" fontId="13" fillId="35" borderId="56" xfId="0" applyNumberFormat="1" applyFont="1" applyFill="1" applyBorder="1" applyAlignment="1" applyProtection="1">
      <alignment/>
      <protection hidden="1"/>
    </xf>
    <xf numFmtId="0" fontId="10" fillId="35" borderId="47" xfId="0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3" fillId="35" borderId="38" xfId="0" applyFont="1" applyFill="1" applyBorder="1" applyAlignment="1" applyProtection="1">
      <alignment/>
      <protection hidden="1"/>
    </xf>
    <xf numFmtId="0" fontId="15" fillId="35" borderId="39" xfId="0" applyFont="1" applyFill="1" applyBorder="1" applyAlignment="1" applyProtection="1">
      <alignment/>
      <protection hidden="1"/>
    </xf>
    <xf numFmtId="0" fontId="15" fillId="35" borderId="57" xfId="0" applyFont="1" applyFill="1" applyBorder="1" applyAlignment="1" applyProtection="1">
      <alignment/>
      <protection hidden="1"/>
    </xf>
    <xf numFmtId="0" fontId="13" fillId="35" borderId="2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hidden="1"/>
    </xf>
    <xf numFmtId="0" fontId="13" fillId="0" borderId="54" xfId="0" applyFont="1" applyFill="1" applyBorder="1" applyAlignment="1" applyProtection="1">
      <alignment horizontal="center" vertical="center"/>
      <protection hidden="1"/>
    </xf>
    <xf numFmtId="0" fontId="4" fillId="0" borderId="54" xfId="0" applyFont="1" applyFill="1" applyBorder="1" applyAlignment="1" applyProtection="1">
      <alignment/>
      <protection hidden="1"/>
    </xf>
    <xf numFmtId="5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18" fontId="13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5" fontId="4" fillId="0" borderId="0" xfId="0" applyNumberFormat="1" applyFont="1" applyBorder="1" applyAlignment="1" applyProtection="1">
      <alignment/>
      <protection hidden="1"/>
    </xf>
    <xf numFmtId="0" fontId="14" fillId="33" borderId="58" xfId="0" applyFont="1" applyFill="1" applyBorder="1" applyAlignment="1" applyProtection="1">
      <alignment horizontal="left"/>
      <protection hidden="1"/>
    </xf>
    <xf numFmtId="0" fontId="14" fillId="33" borderId="59" xfId="0" applyFont="1" applyFill="1" applyBorder="1" applyAlignment="1" applyProtection="1">
      <alignment horizontal="left"/>
      <protection hidden="1"/>
    </xf>
    <xf numFmtId="0" fontId="11" fillId="33" borderId="59" xfId="0" applyFont="1" applyFill="1" applyBorder="1" applyAlignment="1" applyProtection="1">
      <alignment/>
      <protection hidden="1"/>
    </xf>
    <xf numFmtId="0" fontId="11" fillId="33" borderId="60" xfId="0" applyFont="1" applyFill="1" applyBorder="1" applyAlignment="1" applyProtection="1">
      <alignment/>
      <protection hidden="1"/>
    </xf>
    <xf numFmtId="0" fontId="11" fillId="33" borderId="61" xfId="0" applyFont="1" applyFill="1" applyBorder="1" applyAlignment="1" applyProtection="1">
      <alignment/>
      <protection hidden="1"/>
    </xf>
    <xf numFmtId="0" fontId="14" fillId="33" borderId="62" xfId="0" applyFont="1" applyFill="1" applyBorder="1" applyAlignment="1" applyProtection="1">
      <alignment horizontal="center" wrapText="1"/>
      <protection hidden="1"/>
    </xf>
    <xf numFmtId="0" fontId="14" fillId="36" borderId="62" xfId="0" applyFont="1" applyFill="1" applyBorder="1" applyAlignment="1" applyProtection="1">
      <alignment horizontal="center" wrapText="1"/>
      <protection hidden="1"/>
    </xf>
    <xf numFmtId="0" fontId="18" fillId="33" borderId="63" xfId="0" applyFont="1" applyFill="1" applyBorder="1" applyAlignment="1" applyProtection="1">
      <alignment horizontal="center" wrapText="1"/>
      <protection hidden="1"/>
    </xf>
    <xf numFmtId="0" fontId="13" fillId="0" borderId="0" xfId="0" applyFont="1" applyFill="1" applyBorder="1" applyAlignment="1" applyProtection="1">
      <alignment/>
      <protection/>
    </xf>
    <xf numFmtId="0" fontId="14" fillId="35" borderId="24" xfId="0" applyFont="1" applyFill="1" applyBorder="1" applyAlignment="1" applyProtection="1">
      <alignment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1" fillId="0" borderId="33" xfId="0" applyFont="1" applyFill="1" applyBorder="1" applyAlignment="1" applyProtection="1">
      <alignment horizontal="right"/>
      <protection hidden="1"/>
    </xf>
    <xf numFmtId="0" fontId="14" fillId="35" borderId="27" xfId="0" applyFont="1" applyFill="1" applyBorder="1" applyAlignment="1" applyProtection="1">
      <alignment horizontal="center"/>
      <protection hidden="1"/>
    </xf>
    <xf numFmtId="0" fontId="14" fillId="35" borderId="25" xfId="0" applyFont="1" applyFill="1" applyBorder="1" applyAlignment="1" applyProtection="1">
      <alignment/>
      <protection hidden="1"/>
    </xf>
    <xf numFmtId="0" fontId="14" fillId="35" borderId="13" xfId="0" applyFont="1" applyFill="1" applyBorder="1" applyAlignment="1" applyProtection="1">
      <alignment horizontal="center"/>
      <protection hidden="1"/>
    </xf>
    <xf numFmtId="6" fontId="19" fillId="37" borderId="13" xfId="44" applyNumberFormat="1" applyFont="1" applyFill="1" applyBorder="1" applyAlignment="1" applyProtection="1">
      <alignment/>
      <protection hidden="1"/>
    </xf>
    <xf numFmtId="164" fontId="19" fillId="38" borderId="64" xfId="0" applyNumberFormat="1" applyFont="1" applyFill="1" applyBorder="1" applyAlignment="1" applyProtection="1">
      <alignment horizontal="center"/>
      <protection hidden="1"/>
    </xf>
    <xf numFmtId="5" fontId="11" fillId="0" borderId="27" xfId="0" applyNumberFormat="1" applyFont="1" applyFill="1" applyBorder="1" applyAlignment="1" applyProtection="1">
      <alignment/>
      <protection hidden="1"/>
    </xf>
    <xf numFmtId="0" fontId="11" fillId="0" borderId="46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 quotePrefix="1">
      <alignment horizontal="center"/>
      <protection/>
    </xf>
    <xf numFmtId="0" fontId="20" fillId="0" borderId="0" xfId="0" applyFont="1" applyAlignment="1" applyProtection="1">
      <alignment/>
      <protection/>
    </xf>
    <xf numFmtId="0" fontId="18" fillId="37" borderId="13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4" fillId="35" borderId="20" xfId="0" applyFont="1" applyFill="1" applyBorder="1" applyAlignment="1" applyProtection="1">
      <alignment/>
      <protection hidden="1"/>
    </xf>
    <xf numFmtId="0" fontId="14" fillId="35" borderId="21" xfId="0" applyFont="1" applyFill="1" applyBorder="1" applyAlignment="1" applyProtection="1">
      <alignment/>
      <protection hidden="1"/>
    </xf>
    <xf numFmtId="164" fontId="11" fillId="0" borderId="65" xfId="0" applyNumberFormat="1" applyFont="1" applyFill="1" applyBorder="1" applyAlignment="1" applyProtection="1">
      <alignment horizontal="right"/>
      <protection hidden="1"/>
    </xf>
    <xf numFmtId="0" fontId="14" fillId="35" borderId="31" xfId="0" applyFont="1" applyFill="1" applyBorder="1" applyAlignment="1" applyProtection="1">
      <alignment horizontal="center"/>
      <protection hidden="1"/>
    </xf>
    <xf numFmtId="164" fontId="11" fillId="0" borderId="0" xfId="0" applyNumberFormat="1" applyFont="1" applyFill="1" applyBorder="1" applyAlignment="1" applyProtection="1">
      <alignment horizontal="right"/>
      <protection hidden="1"/>
    </xf>
    <xf numFmtId="0" fontId="14" fillId="35" borderId="57" xfId="0" applyFont="1" applyFill="1" applyBorder="1" applyAlignment="1" applyProtection="1">
      <alignment/>
      <protection hidden="1"/>
    </xf>
    <xf numFmtId="0" fontId="14" fillId="35" borderId="15" xfId="0" applyFont="1" applyFill="1" applyBorder="1" applyAlignment="1" applyProtection="1">
      <alignment horizontal="center"/>
      <protection hidden="1"/>
    </xf>
    <xf numFmtId="6" fontId="19" fillId="37" borderId="15" xfId="44" applyNumberFormat="1" applyFont="1" applyFill="1" applyBorder="1" applyAlignment="1" applyProtection="1">
      <alignment/>
      <protection hidden="1"/>
    </xf>
    <xf numFmtId="0" fontId="18" fillId="37" borderId="15" xfId="0" applyFont="1" applyFill="1" applyBorder="1" applyAlignment="1" applyProtection="1">
      <alignment/>
      <protection hidden="1"/>
    </xf>
    <xf numFmtId="5" fontId="11" fillId="0" borderId="31" xfId="0" applyNumberFormat="1" applyFont="1" applyFill="1" applyBorder="1" applyAlignment="1" applyProtection="1">
      <alignment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5" fontId="11" fillId="0" borderId="0" xfId="0" applyNumberFormat="1" applyFont="1" applyFill="1" applyBorder="1" applyAlignment="1" applyProtection="1">
      <alignment/>
      <protection hidden="1"/>
    </xf>
    <xf numFmtId="0" fontId="14" fillId="33" borderId="58" xfId="0" applyFont="1" applyFill="1" applyBorder="1" applyAlignment="1" applyProtection="1">
      <alignment vertical="center"/>
      <protection hidden="1"/>
    </xf>
    <xf numFmtId="0" fontId="14" fillId="33" borderId="59" xfId="0" applyFont="1" applyFill="1" applyBorder="1" applyAlignment="1" applyProtection="1">
      <alignment vertical="center"/>
      <protection hidden="1"/>
    </xf>
    <xf numFmtId="0" fontId="4" fillId="33" borderId="59" xfId="0" applyFont="1" applyFill="1" applyBorder="1" applyAlignment="1" applyProtection="1">
      <alignment horizontal="center"/>
      <protection hidden="1"/>
    </xf>
    <xf numFmtId="0" fontId="4" fillId="33" borderId="60" xfId="0" applyFont="1" applyFill="1" applyBorder="1" applyAlignment="1" applyProtection="1">
      <alignment horizontal="center"/>
      <protection hidden="1"/>
    </xf>
    <xf numFmtId="0" fontId="11" fillId="33" borderId="60" xfId="0" applyFont="1" applyFill="1" applyBorder="1" applyAlignment="1" applyProtection="1">
      <alignment horizontal="center"/>
      <protection hidden="1"/>
    </xf>
    <xf numFmtId="0" fontId="2" fillId="35" borderId="16" xfId="0" applyFont="1" applyFill="1" applyBorder="1" applyAlignment="1" applyProtection="1">
      <alignment/>
      <protection hidden="1"/>
    </xf>
    <xf numFmtId="0" fontId="2" fillId="35" borderId="17" xfId="0" applyFont="1" applyFill="1" applyBorder="1" applyAlignment="1" applyProtection="1">
      <alignment/>
      <protection hidden="1"/>
    </xf>
    <xf numFmtId="0" fontId="14" fillId="35" borderId="66" xfId="0" applyFont="1" applyFill="1" applyBorder="1" applyAlignment="1" applyProtection="1">
      <alignment horizontal="center" vertical="center" wrapText="1"/>
      <protection hidden="1"/>
    </xf>
    <xf numFmtId="0" fontId="14" fillId="35" borderId="67" xfId="0" applyFont="1" applyFill="1" applyBorder="1" applyAlignment="1" applyProtection="1">
      <alignment horizontal="center" vertical="center" wrapText="1"/>
      <protection hidden="1"/>
    </xf>
    <xf numFmtId="0" fontId="11" fillId="35" borderId="68" xfId="0" applyFont="1" applyFill="1" applyBorder="1" applyAlignment="1" applyProtection="1">
      <alignment wrapText="1"/>
      <protection hidden="1"/>
    </xf>
    <xf numFmtId="0" fontId="11" fillId="35" borderId="46" xfId="0" applyFont="1" applyFill="1" applyBorder="1" applyAlignment="1" applyProtection="1">
      <alignment wrapText="1"/>
      <protection hidden="1"/>
    </xf>
    <xf numFmtId="0" fontId="14" fillId="35" borderId="69" xfId="0" applyFont="1" applyFill="1" applyBorder="1" applyAlignment="1" applyProtection="1">
      <alignment horizontal="center" wrapText="1"/>
      <protection hidden="1"/>
    </xf>
    <xf numFmtId="0" fontId="14" fillId="35" borderId="41" xfId="0" applyFont="1" applyFill="1" applyBorder="1" applyAlignment="1" applyProtection="1">
      <alignment horizontal="center" wrapText="1"/>
      <protection hidden="1"/>
    </xf>
    <xf numFmtId="0" fontId="14" fillId="0" borderId="19" xfId="0" applyFont="1" applyFill="1" applyBorder="1" applyAlignment="1" applyProtection="1">
      <alignment/>
      <protection hidden="1"/>
    </xf>
    <xf numFmtId="5" fontId="4" fillId="0" borderId="33" xfId="0" applyNumberFormat="1" applyFont="1" applyFill="1" applyBorder="1" applyAlignment="1" applyProtection="1">
      <alignment horizontal="right"/>
      <protection hidden="1"/>
    </xf>
    <xf numFmtId="5" fontId="21" fillId="0" borderId="33" xfId="0" applyNumberFormat="1" applyFont="1" applyFill="1" applyBorder="1" applyAlignment="1" applyProtection="1">
      <alignment horizontal="right"/>
      <protection hidden="1"/>
    </xf>
    <xf numFmtId="5" fontId="4" fillId="0" borderId="27" xfId="0" applyNumberFormat="1" applyFont="1" applyFill="1" applyBorder="1" applyAlignment="1" applyProtection="1">
      <alignment horizontal="right"/>
      <protection hidden="1"/>
    </xf>
    <xf numFmtId="0" fontId="11" fillId="0" borderId="33" xfId="0" applyFont="1" applyFill="1" applyBorder="1" applyAlignment="1" applyProtection="1">
      <alignment horizontal="center"/>
      <protection hidden="1"/>
    </xf>
    <xf numFmtId="0" fontId="11" fillId="0" borderId="27" xfId="0" applyFont="1" applyFill="1" applyBorder="1" applyAlignment="1" applyProtection="1">
      <alignment horizontal="center"/>
      <protection hidden="1"/>
    </xf>
    <xf numFmtId="0" fontId="14" fillId="0" borderId="13" xfId="0" applyFont="1" applyFill="1" applyBorder="1" applyAlignment="1" applyProtection="1">
      <alignment/>
      <protection hidden="1"/>
    </xf>
    <xf numFmtId="0" fontId="14" fillId="35" borderId="24" xfId="0" applyFont="1" applyFill="1" applyBorder="1" applyAlignment="1" applyProtection="1">
      <alignment/>
      <protection hidden="1"/>
    </xf>
    <xf numFmtId="2" fontId="11" fillId="0" borderId="33" xfId="0" applyNumberFormat="1" applyFont="1" applyFill="1" applyBorder="1" applyAlignment="1" applyProtection="1">
      <alignment horizontal="center"/>
      <protection hidden="1"/>
    </xf>
    <xf numFmtId="2" fontId="11" fillId="0" borderId="27" xfId="0" applyNumberFormat="1" applyFont="1" applyFill="1" applyBorder="1" applyAlignment="1" applyProtection="1">
      <alignment horizontal="center"/>
      <protection hidden="1"/>
    </xf>
    <xf numFmtId="0" fontId="14" fillId="0" borderId="23" xfId="0" applyFont="1" applyFill="1" applyBorder="1" applyAlignment="1" applyProtection="1">
      <alignment/>
      <protection hidden="1"/>
    </xf>
    <xf numFmtId="5" fontId="4" fillId="0" borderId="65" xfId="0" applyNumberFormat="1" applyFont="1" applyFill="1" applyBorder="1" applyAlignment="1" applyProtection="1">
      <alignment horizontal="right"/>
      <protection hidden="1"/>
    </xf>
    <xf numFmtId="5" fontId="21" fillId="0" borderId="65" xfId="0" applyNumberFormat="1" applyFont="1" applyFill="1" applyBorder="1" applyAlignment="1" applyProtection="1">
      <alignment horizontal="right"/>
      <protection hidden="1"/>
    </xf>
    <xf numFmtId="5" fontId="4" fillId="0" borderId="31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/>
      <protection hidden="1"/>
    </xf>
    <xf numFmtId="0" fontId="11" fillId="35" borderId="21" xfId="0" applyFont="1" applyFill="1" applyBorder="1" applyAlignment="1" applyProtection="1">
      <alignment/>
      <protection hidden="1"/>
    </xf>
    <xf numFmtId="2" fontId="11" fillId="0" borderId="65" xfId="0" applyNumberFormat="1" applyFont="1" applyFill="1" applyBorder="1" applyAlignment="1" applyProtection="1">
      <alignment horizontal="center"/>
      <protection hidden="1"/>
    </xf>
    <xf numFmtId="2" fontId="11" fillId="0" borderId="31" xfId="0" applyNumberFormat="1" applyFont="1" applyFill="1" applyBorder="1" applyAlignment="1" applyProtection="1">
      <alignment horizontal="center"/>
      <protection hidden="1"/>
    </xf>
    <xf numFmtId="0" fontId="11" fillId="33" borderId="16" xfId="0" applyFont="1" applyFill="1" applyBorder="1" applyAlignment="1" applyProtection="1">
      <alignment horizontal="right"/>
      <protection hidden="1"/>
    </xf>
    <xf numFmtId="0" fontId="11" fillId="33" borderId="17" xfId="0" applyFont="1" applyFill="1" applyBorder="1" applyAlignment="1" applyProtection="1">
      <alignment horizontal="right"/>
      <protection hidden="1"/>
    </xf>
    <xf numFmtId="0" fontId="11" fillId="33" borderId="17" xfId="0" applyFont="1" applyFill="1" applyBorder="1" applyAlignment="1" applyProtection="1">
      <alignment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11" fillId="33" borderId="68" xfId="0" applyFont="1" applyFill="1" applyBorder="1" applyAlignment="1" applyProtection="1">
      <alignment horizontal="right"/>
      <protection hidden="1"/>
    </xf>
    <xf numFmtId="0" fontId="11" fillId="33" borderId="46" xfId="0" applyFont="1" applyFill="1" applyBorder="1" applyAlignment="1" applyProtection="1">
      <alignment horizontal="right"/>
      <protection hidden="1"/>
    </xf>
    <xf numFmtId="0" fontId="11" fillId="33" borderId="46" xfId="0" applyFont="1" applyFill="1" applyBorder="1" applyAlignment="1" applyProtection="1">
      <alignment/>
      <protection hidden="1"/>
    </xf>
    <xf numFmtId="0" fontId="11" fillId="33" borderId="46" xfId="0" applyFont="1" applyFill="1" applyBorder="1" applyAlignment="1" applyProtection="1">
      <alignment horizontal="center"/>
      <protection hidden="1"/>
    </xf>
    <xf numFmtId="0" fontId="0" fillId="33" borderId="46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/>
      <protection hidden="1"/>
    </xf>
    <xf numFmtId="0" fontId="14" fillId="35" borderId="24" xfId="0" applyFont="1" applyFill="1" applyBorder="1" applyAlignment="1" applyProtection="1">
      <alignment horizontal="center" vertical="center" wrapText="1"/>
      <protection hidden="1"/>
    </xf>
    <xf numFmtId="0" fontId="14" fillId="35" borderId="24" xfId="0" applyFont="1" applyFill="1" applyBorder="1" applyAlignment="1" applyProtection="1">
      <alignment horizontal="right"/>
      <protection hidden="1"/>
    </xf>
    <xf numFmtId="1" fontId="11" fillId="0" borderId="33" xfId="0" applyNumberFormat="1" applyFont="1" applyFill="1" applyBorder="1" applyAlignment="1" applyProtection="1">
      <alignment horizontal="center"/>
      <protection hidden="1"/>
    </xf>
    <xf numFmtId="1" fontId="11" fillId="0" borderId="27" xfId="0" applyNumberFormat="1" applyFont="1" applyFill="1" applyBorder="1" applyAlignment="1" applyProtection="1">
      <alignment horizontal="center"/>
      <protection hidden="1"/>
    </xf>
    <xf numFmtId="0" fontId="14" fillId="35" borderId="70" xfId="0" applyFont="1" applyFill="1" applyBorder="1" applyAlignment="1" applyProtection="1">
      <alignment horizontal="right"/>
      <protection hidden="1"/>
    </xf>
    <xf numFmtId="1" fontId="11" fillId="0" borderId="25" xfId="0" applyNumberFormat="1" applyFont="1" applyBorder="1" applyAlignment="1" applyProtection="1">
      <alignment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" fontId="11" fillId="0" borderId="29" xfId="0" applyNumberFormat="1" applyFont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 vertical="center" wrapText="1"/>
      <protection hidden="1"/>
    </xf>
    <xf numFmtId="0" fontId="14" fillId="35" borderId="51" xfId="0" applyFont="1" applyFill="1" applyBorder="1" applyAlignment="1" applyProtection="1">
      <alignment horizontal="center" vertical="center" wrapText="1"/>
      <protection hidden="1"/>
    </xf>
    <xf numFmtId="0" fontId="14" fillId="35" borderId="50" xfId="0" applyFont="1" applyFill="1" applyBorder="1" applyAlignment="1" applyProtection="1">
      <alignment horizontal="center" vertical="center" wrapText="1"/>
      <protection hidden="1"/>
    </xf>
    <xf numFmtId="0" fontId="0" fillId="35" borderId="25" xfId="0" applyFill="1" applyBorder="1" applyAlignment="1" applyProtection="1">
      <alignment/>
      <protection hidden="1"/>
    </xf>
    <xf numFmtId="0" fontId="14" fillId="35" borderId="12" xfId="0" applyFont="1" applyFill="1" applyBorder="1" applyAlignment="1" applyProtection="1">
      <alignment horizontal="right"/>
      <protection hidden="1"/>
    </xf>
    <xf numFmtId="164" fontId="11" fillId="0" borderId="25" xfId="0" applyNumberFormat="1" applyFont="1" applyFill="1" applyBorder="1" applyAlignment="1" applyProtection="1">
      <alignment horizontal="center"/>
      <protection hidden="1"/>
    </xf>
    <xf numFmtId="164" fontId="11" fillId="0" borderId="29" xfId="0" applyNumberFormat="1" applyFont="1" applyFill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164" fontId="11" fillId="0" borderId="29" xfId="0" applyNumberFormat="1" applyFont="1" applyBorder="1" applyAlignment="1" applyProtection="1">
      <alignment horizontal="center"/>
      <protection hidden="1"/>
    </xf>
    <xf numFmtId="0" fontId="0" fillId="35" borderId="71" xfId="0" applyFill="1" applyBorder="1" applyAlignment="1" applyProtection="1">
      <alignment/>
      <protection hidden="1"/>
    </xf>
    <xf numFmtId="0" fontId="14" fillId="35" borderId="71" xfId="0" applyFont="1" applyFill="1" applyBorder="1" applyAlignment="1" applyProtection="1">
      <alignment horizontal="right"/>
      <protection hidden="1"/>
    </xf>
    <xf numFmtId="0" fontId="11" fillId="0" borderId="25" xfId="0" applyFont="1" applyFill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11" fillId="35" borderId="12" xfId="0" applyFont="1" applyFill="1" applyBorder="1" applyAlignment="1" applyProtection="1">
      <alignment/>
      <protection hidden="1"/>
    </xf>
    <xf numFmtId="0" fontId="11" fillId="0" borderId="25" xfId="0" applyFont="1" applyFill="1" applyBorder="1" applyAlignment="1" applyProtection="1">
      <alignment horizontal="right"/>
      <protection hidden="1"/>
    </xf>
    <xf numFmtId="0" fontId="11" fillId="35" borderId="71" xfId="0" applyFont="1" applyFill="1" applyBorder="1" applyAlignment="1" applyProtection="1">
      <alignment/>
      <protection hidden="1"/>
    </xf>
    <xf numFmtId="0" fontId="13" fillId="35" borderId="71" xfId="0" applyFont="1" applyFill="1" applyBorder="1" applyAlignment="1" applyProtection="1">
      <alignment/>
      <protection hidden="1"/>
    </xf>
    <xf numFmtId="0" fontId="11" fillId="0" borderId="25" xfId="0" applyFont="1" applyFill="1" applyBorder="1" applyAlignment="1" applyProtection="1">
      <alignment horizontal="center"/>
      <protection hidden="1"/>
    </xf>
    <xf numFmtId="0" fontId="13" fillId="35" borderId="12" xfId="0" applyFont="1" applyFill="1" applyBorder="1" applyAlignment="1" applyProtection="1">
      <alignment/>
      <protection hidden="1"/>
    </xf>
    <xf numFmtId="0" fontId="4" fillId="0" borderId="25" xfId="0" applyFont="1" applyFill="1" applyBorder="1" applyAlignment="1" applyProtection="1">
      <alignment/>
      <protection hidden="1"/>
    </xf>
    <xf numFmtId="0" fontId="4" fillId="0" borderId="29" xfId="0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5" fontId="11" fillId="0" borderId="25" xfId="0" applyNumberFormat="1" applyFont="1" applyFill="1" applyBorder="1" applyAlignment="1" applyProtection="1">
      <alignment/>
      <protection hidden="1"/>
    </xf>
    <xf numFmtId="5" fontId="11" fillId="0" borderId="29" xfId="0" applyNumberFormat="1" applyFont="1" applyFill="1" applyBorder="1" applyAlignment="1" applyProtection="1">
      <alignment/>
      <protection hidden="1"/>
    </xf>
    <xf numFmtId="0" fontId="14" fillId="35" borderId="14" xfId="0" applyFont="1" applyFill="1" applyBorder="1" applyAlignment="1" applyProtection="1">
      <alignment horizontal="right"/>
      <protection hidden="1"/>
    </xf>
    <xf numFmtId="5" fontId="11" fillId="0" borderId="57" xfId="0" applyNumberFormat="1" applyFont="1" applyFill="1" applyBorder="1" applyAlignment="1" applyProtection="1">
      <alignment/>
      <protection hidden="1"/>
    </xf>
    <xf numFmtId="5" fontId="11" fillId="0" borderId="22" xfId="0" applyNumberFormat="1" applyFont="1" applyFill="1" applyBorder="1" applyAlignment="1" applyProtection="1">
      <alignment/>
      <protection hidden="1"/>
    </xf>
    <xf numFmtId="0" fontId="16" fillId="35" borderId="72" xfId="0" applyFont="1" applyFill="1" applyBorder="1" applyAlignment="1" applyProtection="1">
      <alignment horizontal="center" vertical="center" wrapText="1"/>
      <protection hidden="1"/>
    </xf>
    <xf numFmtId="2" fontId="14" fillId="35" borderId="7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14" fillId="35" borderId="72" xfId="0" applyFont="1" applyFill="1" applyBorder="1" applyAlignment="1" applyProtection="1">
      <alignment horizontal="center" vertical="center" wrapText="1"/>
      <protection hidden="1"/>
    </xf>
    <xf numFmtId="5" fontId="4" fillId="0" borderId="29" xfId="0" applyNumberFormat="1" applyFont="1" applyFill="1" applyBorder="1" applyAlignment="1" applyProtection="1">
      <alignment/>
      <protection hidden="1"/>
    </xf>
    <xf numFmtId="5" fontId="4" fillId="0" borderId="22" xfId="0" applyNumberFormat="1" applyFont="1" applyFill="1" applyBorder="1" applyAlignment="1" applyProtection="1">
      <alignment/>
      <protection hidden="1"/>
    </xf>
    <xf numFmtId="0" fontId="18" fillId="33" borderId="58" xfId="0" applyFont="1" applyFill="1" applyBorder="1" applyAlignment="1" applyProtection="1">
      <alignment/>
      <protection hidden="1"/>
    </xf>
    <xf numFmtId="0" fontId="0" fillId="33" borderId="59" xfId="0" applyFill="1" applyBorder="1" applyAlignment="1" applyProtection="1">
      <alignment/>
      <protection hidden="1"/>
    </xf>
    <xf numFmtId="0" fontId="0" fillId="33" borderId="60" xfId="0" applyFill="1" applyBorder="1" applyAlignment="1" applyProtection="1">
      <alignment/>
      <protection hidden="1"/>
    </xf>
    <xf numFmtId="0" fontId="2" fillId="35" borderId="68" xfId="0" applyFont="1" applyFill="1" applyBorder="1" applyAlignment="1" applyProtection="1">
      <alignment wrapText="1"/>
      <protection hidden="1"/>
    </xf>
    <xf numFmtId="0" fontId="14" fillId="35" borderId="46" xfId="0" applyFont="1" applyFill="1" applyBorder="1" applyAlignment="1" applyProtection="1">
      <alignment wrapText="1"/>
      <protection hidden="1"/>
    </xf>
    <xf numFmtId="0" fontId="16" fillId="35" borderId="41" xfId="0" applyFont="1" applyFill="1" applyBorder="1" applyAlignment="1" applyProtection="1">
      <alignment horizontal="center" vertical="center" wrapText="1"/>
      <protection hidden="1"/>
    </xf>
    <xf numFmtId="164" fontId="11" fillId="0" borderId="33" xfId="0" applyNumberFormat="1" applyFont="1" applyFill="1" applyBorder="1" applyAlignment="1" applyProtection="1">
      <alignment horizontal="center"/>
      <protection hidden="1"/>
    </xf>
    <xf numFmtId="164" fontId="0" fillId="0" borderId="27" xfId="0" applyNumberFormat="1" applyFill="1" applyBorder="1" applyAlignment="1" applyProtection="1">
      <alignment/>
      <protection hidden="1"/>
    </xf>
    <xf numFmtId="164" fontId="21" fillId="0" borderId="13" xfId="0" applyNumberFormat="1" applyFont="1" applyFill="1" applyBorder="1" applyAlignment="1" applyProtection="1">
      <alignment horizontal="center"/>
      <protection hidden="1"/>
    </xf>
    <xf numFmtId="164" fontId="11" fillId="0" borderId="13" xfId="0" applyNumberFormat="1" applyFont="1" applyFill="1" applyBorder="1" applyAlignment="1" applyProtection="1">
      <alignment horizontal="center"/>
      <protection hidden="1"/>
    </xf>
    <xf numFmtId="164" fontId="0" fillId="0" borderId="27" xfId="0" applyNumberFormat="1" applyBorder="1" applyAlignment="1" applyProtection="1">
      <alignment/>
      <protection hidden="1"/>
    </xf>
    <xf numFmtId="0" fontId="2" fillId="35" borderId="24" xfId="0" applyFont="1" applyFill="1" applyBorder="1" applyAlignment="1" applyProtection="1">
      <alignment/>
      <protection hidden="1"/>
    </xf>
    <xf numFmtId="0" fontId="11" fillId="0" borderId="33" xfId="0" applyFont="1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5" fontId="11" fillId="0" borderId="65" xfId="0" applyNumberFormat="1" applyFont="1" applyFill="1" applyBorder="1" applyAlignment="1" applyProtection="1">
      <alignment horizontal="center"/>
      <protection hidden="1"/>
    </xf>
    <xf numFmtId="5" fontId="0" fillId="0" borderId="31" xfId="0" applyNumberFormat="1" applyFill="1" applyBorder="1" applyAlignment="1" applyProtection="1">
      <alignment/>
      <protection hidden="1"/>
    </xf>
    <xf numFmtId="0" fontId="15" fillId="0" borderId="32" xfId="0" applyFont="1" applyFill="1" applyBorder="1" applyAlignment="1" applyProtection="1">
      <alignment horizontal="right"/>
      <protection locked="0"/>
    </xf>
    <xf numFmtId="0" fontId="15" fillId="0" borderId="33" xfId="0" applyFont="1" applyFill="1" applyBorder="1" applyAlignment="1" applyProtection="1">
      <alignment horizontal="right"/>
      <protection locked="0"/>
    </xf>
    <xf numFmtId="0" fontId="15" fillId="0" borderId="34" xfId="0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12" fillId="0" borderId="20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left"/>
      <protection hidden="1"/>
    </xf>
    <xf numFmtId="0" fontId="0" fillId="0" borderId="22" xfId="0" applyBorder="1" applyAlignment="1" applyProtection="1">
      <alignment/>
      <protection hidden="1"/>
    </xf>
    <xf numFmtId="0" fontId="59" fillId="0" borderId="0" xfId="53" applyFill="1" applyBorder="1" applyAlignment="1" applyProtection="1">
      <alignment/>
      <protection locked="0"/>
    </xf>
    <xf numFmtId="0" fontId="59" fillId="0" borderId="0" xfId="53" applyFill="1" applyBorder="1" applyAlignment="1" applyProtection="1">
      <alignment/>
      <protection locked="0"/>
    </xf>
    <xf numFmtId="0" fontId="10" fillId="0" borderId="74" xfId="0" applyFont="1" applyFill="1" applyBorder="1" applyAlignment="1" applyProtection="1">
      <alignment horizontal="center" vertical="center" wrapText="1"/>
      <protection locked="0"/>
    </xf>
    <xf numFmtId="0" fontId="10" fillId="0" borderId="62" xfId="0" applyFont="1" applyFill="1" applyBorder="1" applyAlignment="1" applyProtection="1">
      <alignment horizontal="center" vertical="center" wrapText="1"/>
      <protection locked="0"/>
    </xf>
    <xf numFmtId="0" fontId="1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quotePrefix="1">
      <alignment/>
    </xf>
    <xf numFmtId="0" fontId="13" fillId="35" borderId="33" xfId="0" applyFont="1" applyFill="1" applyBorder="1" applyAlignment="1" applyProtection="1">
      <alignment/>
      <protection hidden="1"/>
    </xf>
    <xf numFmtId="0" fontId="15" fillId="35" borderId="29" xfId="0" applyFont="1" applyFill="1" applyBorder="1" applyAlignment="1" applyProtection="1">
      <alignment/>
      <protection hidden="1"/>
    </xf>
    <xf numFmtId="5" fontId="13" fillId="35" borderId="33" xfId="0" applyNumberFormat="1" applyFont="1" applyFill="1" applyBorder="1" applyAlignment="1" applyProtection="1">
      <alignment/>
      <protection hidden="1"/>
    </xf>
    <xf numFmtId="5" fontId="13" fillId="35" borderId="75" xfId="0" applyNumberFormat="1" applyFont="1" applyFill="1" applyBorder="1" applyAlignment="1" applyProtection="1">
      <alignment horizontal="right"/>
      <protection hidden="1"/>
    </xf>
    <xf numFmtId="0" fontId="13" fillId="35" borderId="65" xfId="0" applyFont="1" applyFill="1" applyBorder="1" applyAlignment="1" applyProtection="1">
      <alignment horizontal="center"/>
      <protection hidden="1"/>
    </xf>
    <xf numFmtId="5" fontId="13" fillId="35" borderId="29" xfId="0" applyNumberFormat="1" applyFont="1" applyFill="1" applyBorder="1" applyAlignment="1" applyProtection="1">
      <alignment/>
      <protection hidden="1"/>
    </xf>
    <xf numFmtId="5" fontId="10" fillId="0" borderId="76" xfId="0" applyNumberFormat="1" applyFont="1" applyFill="1" applyBorder="1" applyAlignment="1" applyProtection="1">
      <alignment horizontal="right"/>
      <protection hidden="1"/>
    </xf>
    <xf numFmtId="0" fontId="10" fillId="0" borderId="77" xfId="0" applyFont="1" applyFill="1" applyBorder="1" applyAlignment="1" applyProtection="1">
      <alignment horizontal="center"/>
      <protection hidden="1"/>
    </xf>
    <xf numFmtId="0" fontId="22" fillId="39" borderId="78" xfId="0" applyFont="1" applyFill="1" applyBorder="1" applyAlignment="1" applyProtection="1">
      <alignment/>
      <protection hidden="1"/>
    </xf>
    <xf numFmtId="0" fontId="22" fillId="39" borderId="79" xfId="0" applyFont="1" applyFill="1" applyBorder="1" applyAlignment="1" applyProtection="1">
      <alignment/>
      <protection hidden="1"/>
    </xf>
    <xf numFmtId="0" fontId="22" fillId="39" borderId="80" xfId="0" applyFont="1" applyFill="1" applyBorder="1" applyAlignment="1" applyProtection="1">
      <alignment/>
      <protection hidden="1"/>
    </xf>
    <xf numFmtId="164" fontId="22" fillId="40" borderId="58" xfId="0" applyNumberFormat="1" applyFont="1" applyFill="1" applyBorder="1" applyAlignment="1" applyProtection="1">
      <alignment/>
      <protection hidden="1"/>
    </xf>
    <xf numFmtId="0" fontId="22" fillId="40" borderId="59" xfId="0" applyFont="1" applyFill="1" applyBorder="1" applyAlignment="1" applyProtection="1">
      <alignment/>
      <protection hidden="1"/>
    </xf>
    <xf numFmtId="0" fontId="22" fillId="40" borderId="60" xfId="0" applyFont="1" applyFill="1" applyBorder="1" applyAlignment="1" applyProtection="1">
      <alignment/>
      <protection hidden="1"/>
    </xf>
    <xf numFmtId="169" fontId="15" fillId="0" borderId="0" xfId="0" applyNumberFormat="1" applyFont="1" applyAlignment="1" applyProtection="1">
      <alignment/>
      <protection locked="0"/>
    </xf>
    <xf numFmtId="5" fontId="22" fillId="41" borderId="80" xfId="0" applyNumberFormat="1" applyFont="1" applyFill="1" applyBorder="1" applyAlignment="1" applyProtection="1">
      <alignment horizontal="center"/>
      <protection hidden="1"/>
    </xf>
    <xf numFmtId="0" fontId="22" fillId="41" borderId="81" xfId="0" applyFont="1" applyFill="1" applyBorder="1" applyAlignment="1" applyProtection="1">
      <alignment horizontal="center"/>
      <protection locked="0"/>
    </xf>
    <xf numFmtId="1" fontId="59" fillId="0" borderId="0" xfId="53" applyNumberFormat="1" applyAlignment="1">
      <alignment/>
    </xf>
    <xf numFmtId="0" fontId="0" fillId="42" borderId="0" xfId="0" applyFill="1" applyAlignment="1">
      <alignment/>
    </xf>
    <xf numFmtId="0" fontId="0" fillId="0" borderId="0" xfId="0" applyAlignment="1">
      <alignment horizontal="center"/>
    </xf>
    <xf numFmtId="0" fontId="0" fillId="0" borderId="81" xfId="0" applyBorder="1" applyAlignment="1">
      <alignment horizontal="center"/>
    </xf>
    <xf numFmtId="169" fontId="0" fillId="42" borderId="0" xfId="0" applyNumberFormat="1" applyFill="1" applyAlignment="1">
      <alignment horizontal="center"/>
    </xf>
    <xf numFmtId="0" fontId="0" fillId="0" borderId="79" xfId="0" applyBorder="1" applyAlignment="1">
      <alignment horizontal="center"/>
    </xf>
    <xf numFmtId="0" fontId="0" fillId="42" borderId="0" xfId="0" applyFill="1" applyAlignment="1">
      <alignment horizontal="center"/>
    </xf>
    <xf numFmtId="169" fontId="0" fillId="0" borderId="0" xfId="0" applyNumberFormat="1" applyAlignment="1">
      <alignment horizontal="center"/>
    </xf>
    <xf numFmtId="0" fontId="0" fillId="42" borderId="81" xfId="0" applyFill="1" applyBorder="1" applyAlignment="1">
      <alignment horizontal="center"/>
    </xf>
    <xf numFmtId="169" fontId="0" fillId="43" borderId="81" xfId="0" applyNumberFormat="1" applyFill="1" applyBorder="1" applyAlignment="1">
      <alignment horizontal="center"/>
    </xf>
    <xf numFmtId="0" fontId="55" fillId="29" borderId="81" xfId="48" applyBorder="1" applyAlignment="1">
      <alignment horizontal="center"/>
    </xf>
    <xf numFmtId="0" fontId="55" fillId="29" borderId="0" xfId="48" applyAlignment="1">
      <alignment horizontal="left"/>
    </xf>
    <xf numFmtId="0" fontId="55" fillId="29" borderId="0" xfId="48" applyAlignment="1">
      <alignment horizontal="center"/>
    </xf>
    <xf numFmtId="0" fontId="50" fillId="26" borderId="81" xfId="39" applyBorder="1" applyAlignment="1">
      <alignment horizontal="center"/>
    </xf>
    <xf numFmtId="0" fontId="67" fillId="29" borderId="16" xfId="48" applyFont="1" applyBorder="1" applyAlignment="1">
      <alignment horizontal="left"/>
    </xf>
    <xf numFmtId="0" fontId="55" fillId="29" borderId="17" xfId="48" applyBorder="1" applyAlignment="1">
      <alignment horizontal="center"/>
    </xf>
    <xf numFmtId="0" fontId="55" fillId="29" borderId="18" xfId="48" applyBorder="1" applyAlignment="1">
      <alignment horizontal="center"/>
    </xf>
    <xf numFmtId="0" fontId="67" fillId="29" borderId="20" xfId="48" applyFont="1" applyBorder="1" applyAlignment="1">
      <alignment horizontal="left"/>
    </xf>
    <xf numFmtId="0" fontId="55" fillId="29" borderId="21" xfId="48" applyBorder="1" applyAlignment="1">
      <alignment horizontal="center"/>
    </xf>
    <xf numFmtId="0" fontId="55" fillId="29" borderId="22" xfId="48" applyBorder="1" applyAlignment="1">
      <alignment horizontal="center"/>
    </xf>
    <xf numFmtId="0" fontId="55" fillId="29" borderId="0" xfId="48" applyAlignment="1" quotePrefix="1">
      <alignment horizontal="center"/>
    </xf>
    <xf numFmtId="0" fontId="22" fillId="39" borderId="79" xfId="0" applyFont="1" applyFill="1" applyBorder="1" applyAlignment="1" applyProtection="1" quotePrefix="1">
      <alignment/>
      <protection hidden="1"/>
    </xf>
    <xf numFmtId="0" fontId="6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 hidden="1"/>
    </xf>
    <xf numFmtId="0" fontId="10" fillId="34" borderId="38" xfId="0" applyFont="1" applyFill="1" applyBorder="1" applyAlignment="1" applyProtection="1">
      <alignment horizontal="center" vertical="center"/>
      <protection hidden="1"/>
    </xf>
    <xf numFmtId="0" fontId="10" fillId="34" borderId="39" xfId="0" applyFont="1" applyFill="1" applyBorder="1" applyAlignment="1" applyProtection="1">
      <alignment horizontal="center" vertical="center"/>
      <protection hidden="1"/>
    </xf>
    <xf numFmtId="0" fontId="10" fillId="34" borderId="82" xfId="0" applyFont="1" applyFill="1" applyBorder="1" applyAlignment="1" applyProtection="1">
      <alignment horizontal="center" vertical="center"/>
      <protection hidden="1"/>
    </xf>
    <xf numFmtId="0" fontId="10" fillId="34" borderId="68" xfId="0" applyFont="1" applyFill="1" applyBorder="1" applyAlignment="1" applyProtection="1">
      <alignment horizontal="center" vertical="center"/>
      <protection hidden="1"/>
    </xf>
    <xf numFmtId="0" fontId="10" fillId="34" borderId="46" xfId="0" applyFont="1" applyFill="1" applyBorder="1" applyAlignment="1" applyProtection="1">
      <alignment horizontal="center" vertical="center"/>
      <protection hidden="1"/>
    </xf>
    <xf numFmtId="0" fontId="10" fillId="34" borderId="8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838200</xdr:colOff>
      <xdr:row>7</xdr:row>
      <xdr:rowOff>47625</xdr:rowOff>
    </xdr:from>
    <xdr:to>
      <xdr:col>11</xdr:col>
      <xdr:colOff>257175</xdr:colOff>
      <xdr:row>17</xdr:row>
      <xdr:rowOff>161925</xdr:rowOff>
    </xdr:to>
    <xdr:sp>
      <xdr:nvSpPr>
        <xdr:cNvPr id="1" name="Drawing 95"/>
        <xdr:cNvSpPr>
          <a:spLocks/>
        </xdr:cNvSpPr>
      </xdr:nvSpPr>
      <xdr:spPr>
        <a:xfrm>
          <a:off x="8829675" y="1295400"/>
          <a:ext cx="1295400" cy="1933575"/>
        </a:xfrm>
        <a:custGeom>
          <a:pathLst>
            <a:path h="16384" w="16384">
              <a:moveTo>
                <a:pt x="137" y="16384"/>
              </a:moveTo>
              <a:lnTo>
                <a:pt x="16384" y="955"/>
              </a:lnTo>
              <a:lnTo>
                <a:pt x="14457" y="0"/>
              </a:lnTo>
              <a:lnTo>
                <a:pt x="0" y="13739"/>
              </a:lnTo>
              <a:lnTo>
                <a:pt x="137" y="16384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838200</xdr:colOff>
      <xdr:row>3</xdr:row>
      <xdr:rowOff>0</xdr:rowOff>
    </xdr:from>
    <xdr:to>
      <xdr:col>11</xdr:col>
      <xdr:colOff>114300</xdr:colOff>
      <xdr:row>16</xdr:row>
      <xdr:rowOff>19050</xdr:rowOff>
    </xdr:to>
    <xdr:sp>
      <xdr:nvSpPr>
        <xdr:cNvPr id="2" name="Drawing 96"/>
        <xdr:cNvSpPr>
          <a:spLocks/>
        </xdr:cNvSpPr>
      </xdr:nvSpPr>
      <xdr:spPr>
        <a:xfrm>
          <a:off x="8829675" y="542925"/>
          <a:ext cx="1152525" cy="2371725"/>
        </a:xfrm>
        <a:custGeom>
          <a:pathLst>
            <a:path h="16384" w="16384">
              <a:moveTo>
                <a:pt x="16231" y="0"/>
              </a:moveTo>
              <a:lnTo>
                <a:pt x="153" y="11565"/>
              </a:lnTo>
              <a:lnTo>
                <a:pt x="0" y="16384"/>
              </a:lnTo>
              <a:lnTo>
                <a:pt x="16384" y="5060"/>
              </a:lnTo>
              <a:lnTo>
                <a:pt x="16231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238125</xdr:colOff>
      <xdr:row>30</xdr:row>
      <xdr:rowOff>57150</xdr:rowOff>
    </xdr:from>
    <xdr:to>
      <xdr:col>11</xdr:col>
      <xdr:colOff>600075</xdr:colOff>
      <xdr:row>35</xdr:row>
      <xdr:rowOff>85725</xdr:rowOff>
    </xdr:to>
    <xdr:sp>
      <xdr:nvSpPr>
        <xdr:cNvPr id="3" name="Drawing 43"/>
        <xdr:cNvSpPr>
          <a:spLocks/>
        </xdr:cNvSpPr>
      </xdr:nvSpPr>
      <xdr:spPr>
        <a:xfrm>
          <a:off x="8229600" y="5600700"/>
          <a:ext cx="2238375" cy="904875"/>
        </a:xfrm>
        <a:custGeom>
          <a:pathLst>
            <a:path h="16384" w="16384">
              <a:moveTo>
                <a:pt x="0" y="0"/>
              </a:moveTo>
              <a:lnTo>
                <a:pt x="0" y="3009"/>
              </a:lnTo>
              <a:lnTo>
                <a:pt x="2068" y="3678"/>
              </a:lnTo>
              <a:lnTo>
                <a:pt x="6602" y="8359"/>
              </a:lnTo>
              <a:lnTo>
                <a:pt x="8431" y="13709"/>
              </a:lnTo>
              <a:lnTo>
                <a:pt x="9306" y="16217"/>
              </a:lnTo>
              <a:lnTo>
                <a:pt x="13998" y="16384"/>
              </a:lnTo>
              <a:lnTo>
                <a:pt x="16384" y="4848"/>
              </a:lnTo>
              <a:lnTo>
                <a:pt x="15112" y="3845"/>
              </a:lnTo>
              <a:lnTo>
                <a:pt x="13282" y="13208"/>
              </a:lnTo>
              <a:lnTo>
                <a:pt x="9942" y="13208"/>
              </a:lnTo>
              <a:lnTo>
                <a:pt x="6919" y="5183"/>
              </a:lnTo>
              <a:lnTo>
                <a:pt x="1989" y="669"/>
              </a:lnTo>
              <a:lnTo>
                <a:pt x="0" y="0"/>
              </a:lnTo>
              <a:close/>
            </a:path>
          </a:pathLst>
        </a:cu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228600</xdr:colOff>
      <xdr:row>30</xdr:row>
      <xdr:rowOff>0</xdr:rowOff>
    </xdr:from>
    <xdr:to>
      <xdr:col>8</xdr:col>
      <xdr:colOff>638175</xdr:colOff>
      <xdr:row>30</xdr:row>
      <xdr:rowOff>47625</xdr:rowOff>
    </xdr:to>
    <xdr:sp>
      <xdr:nvSpPr>
        <xdr:cNvPr id="4" name="Line 1"/>
        <xdr:cNvSpPr>
          <a:spLocks/>
        </xdr:cNvSpPr>
      </xdr:nvSpPr>
      <xdr:spPr>
        <a:xfrm flipV="1">
          <a:off x="7305675" y="5543550"/>
          <a:ext cx="409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619125</xdr:colOff>
      <xdr:row>30</xdr:row>
      <xdr:rowOff>0</xdr:rowOff>
    </xdr:from>
    <xdr:to>
      <xdr:col>9</xdr:col>
      <xdr:colOff>247650</xdr:colOff>
      <xdr:row>30</xdr:row>
      <xdr:rowOff>47625</xdr:rowOff>
    </xdr:to>
    <xdr:sp>
      <xdr:nvSpPr>
        <xdr:cNvPr id="5" name="Line 2"/>
        <xdr:cNvSpPr>
          <a:spLocks/>
        </xdr:cNvSpPr>
      </xdr:nvSpPr>
      <xdr:spPr>
        <a:xfrm>
          <a:off x="7696200" y="5543550"/>
          <a:ext cx="542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47625</xdr:rowOff>
    </xdr:from>
    <xdr:to>
      <xdr:col>9</xdr:col>
      <xdr:colOff>561975</xdr:colOff>
      <xdr:row>30</xdr:row>
      <xdr:rowOff>85725</xdr:rowOff>
    </xdr:to>
    <xdr:sp>
      <xdr:nvSpPr>
        <xdr:cNvPr id="6" name="Line 3"/>
        <xdr:cNvSpPr>
          <a:spLocks/>
        </xdr:cNvSpPr>
      </xdr:nvSpPr>
      <xdr:spPr>
        <a:xfrm>
          <a:off x="8258175" y="5591175"/>
          <a:ext cx="295275" cy="381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571500</xdr:colOff>
      <xdr:row>30</xdr:row>
      <xdr:rowOff>95250</xdr:rowOff>
    </xdr:from>
    <xdr:to>
      <xdr:col>10</xdr:col>
      <xdr:colOff>228600</xdr:colOff>
      <xdr:row>31</xdr:row>
      <xdr:rowOff>152400</xdr:rowOff>
    </xdr:to>
    <xdr:sp>
      <xdr:nvSpPr>
        <xdr:cNvPr id="7" name="Line 4"/>
        <xdr:cNvSpPr>
          <a:spLocks/>
        </xdr:cNvSpPr>
      </xdr:nvSpPr>
      <xdr:spPr>
        <a:xfrm>
          <a:off x="8562975" y="5638800"/>
          <a:ext cx="581025" cy="2286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238125</xdr:colOff>
      <xdr:row>32</xdr:row>
      <xdr:rowOff>0</xdr:rowOff>
    </xdr:from>
    <xdr:to>
      <xdr:col>10</xdr:col>
      <xdr:colOff>619125</xdr:colOff>
      <xdr:row>34</xdr:row>
      <xdr:rowOff>66675</xdr:rowOff>
    </xdr:to>
    <xdr:sp>
      <xdr:nvSpPr>
        <xdr:cNvPr id="8" name="Line 5"/>
        <xdr:cNvSpPr>
          <a:spLocks/>
        </xdr:cNvSpPr>
      </xdr:nvSpPr>
      <xdr:spPr>
        <a:xfrm>
          <a:off x="9153525" y="5886450"/>
          <a:ext cx="381000" cy="4191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638175</xdr:colOff>
      <xdr:row>34</xdr:row>
      <xdr:rowOff>85725</xdr:rowOff>
    </xdr:from>
    <xdr:to>
      <xdr:col>11</xdr:col>
      <xdr:colOff>180975</xdr:colOff>
      <xdr:row>34</xdr:row>
      <xdr:rowOff>85725</xdr:rowOff>
    </xdr:to>
    <xdr:sp>
      <xdr:nvSpPr>
        <xdr:cNvPr id="9" name="Line 6"/>
        <xdr:cNvSpPr>
          <a:spLocks/>
        </xdr:cNvSpPr>
      </xdr:nvSpPr>
      <xdr:spPr>
        <a:xfrm>
          <a:off x="9553575" y="6324600"/>
          <a:ext cx="4953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180975</xdr:colOff>
      <xdr:row>31</xdr:row>
      <xdr:rowOff>95250</xdr:rowOff>
    </xdr:from>
    <xdr:to>
      <xdr:col>11</xdr:col>
      <xdr:colOff>419100</xdr:colOff>
      <xdr:row>34</xdr:row>
      <xdr:rowOff>57150</xdr:rowOff>
    </xdr:to>
    <xdr:sp>
      <xdr:nvSpPr>
        <xdr:cNvPr id="10" name="Line 7"/>
        <xdr:cNvSpPr>
          <a:spLocks/>
        </xdr:cNvSpPr>
      </xdr:nvSpPr>
      <xdr:spPr>
        <a:xfrm flipV="1">
          <a:off x="10048875" y="5810250"/>
          <a:ext cx="238125" cy="4857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647700</xdr:colOff>
      <xdr:row>28</xdr:row>
      <xdr:rowOff>85725</xdr:rowOff>
    </xdr:from>
    <xdr:to>
      <xdr:col>9</xdr:col>
      <xdr:colOff>342900</xdr:colOff>
      <xdr:row>29</xdr:row>
      <xdr:rowOff>152400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724775" y="5105400"/>
          <a:ext cx="6096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Adjacent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</a:p>
      </xdr:txBody>
    </xdr:sp>
    <xdr:clientData/>
  </xdr:twoCellAnchor>
  <xdr:twoCellAnchor>
    <xdr:from>
      <xdr:col>9</xdr:col>
      <xdr:colOff>28575</xdr:colOff>
      <xdr:row>30</xdr:row>
      <xdr:rowOff>66675</xdr:rowOff>
    </xdr:from>
    <xdr:to>
      <xdr:col>9</xdr:col>
      <xdr:colOff>428625</xdr:colOff>
      <xdr:row>35</xdr:row>
      <xdr:rowOff>19050</xdr:rowOff>
    </xdr:to>
    <xdr:sp>
      <xdr:nvSpPr>
        <xdr:cNvPr id="12" name="Line 11"/>
        <xdr:cNvSpPr>
          <a:spLocks/>
        </xdr:cNvSpPr>
      </xdr:nvSpPr>
      <xdr:spPr>
        <a:xfrm flipV="1">
          <a:off x="8020050" y="5610225"/>
          <a:ext cx="4000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323850</xdr:colOff>
      <xdr:row>31</xdr:row>
      <xdr:rowOff>57150</xdr:rowOff>
    </xdr:from>
    <xdr:to>
      <xdr:col>9</xdr:col>
      <xdr:colOff>914400</xdr:colOff>
      <xdr:row>36</xdr:row>
      <xdr:rowOff>180975</xdr:rowOff>
    </xdr:to>
    <xdr:sp>
      <xdr:nvSpPr>
        <xdr:cNvPr id="13" name="Line 12"/>
        <xdr:cNvSpPr>
          <a:spLocks/>
        </xdr:cNvSpPr>
      </xdr:nvSpPr>
      <xdr:spPr>
        <a:xfrm flipV="1">
          <a:off x="8315325" y="5772150"/>
          <a:ext cx="590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628650</xdr:colOff>
      <xdr:row>32</xdr:row>
      <xdr:rowOff>152400</xdr:rowOff>
    </xdr:from>
    <xdr:to>
      <xdr:col>10</xdr:col>
      <xdr:colOff>381000</xdr:colOff>
      <xdr:row>41</xdr:row>
      <xdr:rowOff>19050</xdr:rowOff>
    </xdr:to>
    <xdr:sp>
      <xdr:nvSpPr>
        <xdr:cNvPr id="14" name="Line 13"/>
        <xdr:cNvSpPr>
          <a:spLocks/>
        </xdr:cNvSpPr>
      </xdr:nvSpPr>
      <xdr:spPr>
        <a:xfrm flipV="1">
          <a:off x="8620125" y="6038850"/>
          <a:ext cx="67627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38100</xdr:colOff>
      <xdr:row>28</xdr:row>
      <xdr:rowOff>85725</xdr:rowOff>
    </xdr:from>
    <xdr:to>
      <xdr:col>8</xdr:col>
      <xdr:colOff>609600</xdr:colOff>
      <xdr:row>29</xdr:row>
      <xdr:rowOff>152400</xdr:rowOff>
    </xdr:to>
    <xdr:sp>
      <xdr:nvSpPr>
        <xdr:cNvPr id="15" name="Text 14"/>
        <xdr:cNvSpPr txBox="1">
          <a:spLocks noChangeArrowheads="1"/>
        </xdr:cNvSpPr>
      </xdr:nvSpPr>
      <xdr:spPr>
        <a:xfrm>
          <a:off x="7115175" y="5105400"/>
          <a:ext cx="571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Opposing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</a:p>
      </xdr:txBody>
    </xdr:sp>
    <xdr:clientData/>
  </xdr:twoCellAnchor>
  <xdr:twoCellAnchor>
    <xdr:from>
      <xdr:col>8</xdr:col>
      <xdr:colOff>581025</xdr:colOff>
      <xdr:row>35</xdr:row>
      <xdr:rowOff>9525</xdr:rowOff>
    </xdr:from>
    <xdr:to>
      <xdr:col>9</xdr:col>
      <xdr:colOff>276225</xdr:colOff>
      <xdr:row>36</xdr:row>
      <xdr:rowOff>9525</xdr:rowOff>
    </xdr:to>
    <xdr:sp>
      <xdr:nvSpPr>
        <xdr:cNvPr id="16" name="Text 15"/>
        <xdr:cNvSpPr txBox="1">
          <a:spLocks noChangeArrowheads="1"/>
        </xdr:cNvSpPr>
      </xdr:nvSpPr>
      <xdr:spPr>
        <a:xfrm>
          <a:off x="7658100" y="6429375"/>
          <a:ext cx="609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Slope A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</a:p>
      </xdr:txBody>
    </xdr:sp>
    <xdr:clientData/>
  </xdr:twoCellAnchor>
  <xdr:twoCellAnchor>
    <xdr:from>
      <xdr:col>9</xdr:col>
      <xdr:colOff>38100</xdr:colOff>
      <xdr:row>36</xdr:row>
      <xdr:rowOff>171450</xdr:rowOff>
    </xdr:from>
    <xdr:to>
      <xdr:col>9</xdr:col>
      <xdr:colOff>581025</xdr:colOff>
      <xdr:row>38</xdr:row>
      <xdr:rowOff>19050</xdr:rowOff>
    </xdr:to>
    <xdr:sp>
      <xdr:nvSpPr>
        <xdr:cNvPr id="17" name="Text 16"/>
        <xdr:cNvSpPr txBox="1">
          <a:spLocks noChangeArrowheads="1"/>
        </xdr:cNvSpPr>
      </xdr:nvSpPr>
      <xdr:spPr>
        <a:xfrm>
          <a:off x="8029575" y="6762750"/>
          <a:ext cx="542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Slope B
</a:t>
          </a:r>
        </a:p>
      </xdr:txBody>
    </xdr:sp>
    <xdr:clientData/>
  </xdr:twoCellAnchor>
  <xdr:twoCellAnchor>
    <xdr:from>
      <xdr:col>9</xdr:col>
      <xdr:colOff>47625</xdr:colOff>
      <xdr:row>27</xdr:row>
      <xdr:rowOff>114300</xdr:rowOff>
    </xdr:from>
    <xdr:to>
      <xdr:col>9</xdr:col>
      <xdr:colOff>47625</xdr:colOff>
      <xdr:row>28</xdr:row>
      <xdr:rowOff>85725</xdr:rowOff>
    </xdr:to>
    <xdr:sp>
      <xdr:nvSpPr>
        <xdr:cNvPr id="18" name="Line 17"/>
        <xdr:cNvSpPr>
          <a:spLocks/>
        </xdr:cNvSpPr>
      </xdr:nvSpPr>
      <xdr:spPr>
        <a:xfrm flipV="1">
          <a:off x="8039100" y="4953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342900</xdr:colOff>
      <xdr:row>27</xdr:row>
      <xdr:rowOff>123825</xdr:rowOff>
    </xdr:from>
    <xdr:to>
      <xdr:col>8</xdr:col>
      <xdr:colOff>342900</xdr:colOff>
      <xdr:row>28</xdr:row>
      <xdr:rowOff>85725</xdr:rowOff>
    </xdr:to>
    <xdr:sp>
      <xdr:nvSpPr>
        <xdr:cNvPr id="19" name="Line 18"/>
        <xdr:cNvSpPr>
          <a:spLocks/>
        </xdr:cNvSpPr>
      </xdr:nvSpPr>
      <xdr:spPr>
        <a:xfrm>
          <a:off x="7419975" y="4962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352425</xdr:colOff>
      <xdr:row>41</xdr:row>
      <xdr:rowOff>0</xdr:rowOff>
    </xdr:from>
    <xdr:to>
      <xdr:col>10</xdr:col>
      <xdr:colOff>0</xdr:colOff>
      <xdr:row>41</xdr:row>
      <xdr:rowOff>142875</xdr:rowOff>
    </xdr:to>
    <xdr:sp>
      <xdr:nvSpPr>
        <xdr:cNvPr id="20" name="Text 19"/>
        <xdr:cNvSpPr txBox="1">
          <a:spLocks noChangeArrowheads="1"/>
        </xdr:cNvSpPr>
      </xdr:nvSpPr>
      <xdr:spPr>
        <a:xfrm>
          <a:off x="8343900" y="7639050"/>
          <a:ext cx="571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Slope C</a:t>
          </a:r>
        </a:p>
      </xdr:txBody>
    </xdr:sp>
    <xdr:clientData/>
  </xdr:twoCellAnchor>
  <xdr:twoCellAnchor>
    <xdr:from>
      <xdr:col>10</xdr:col>
      <xdr:colOff>838200</xdr:colOff>
      <xdr:row>34</xdr:row>
      <xdr:rowOff>57150</xdr:rowOff>
    </xdr:from>
    <xdr:to>
      <xdr:col>10</xdr:col>
      <xdr:colOff>838200</xdr:colOff>
      <xdr:row>40</xdr:row>
      <xdr:rowOff>85725</xdr:rowOff>
    </xdr:to>
    <xdr:sp>
      <xdr:nvSpPr>
        <xdr:cNvPr id="21" name="Line 20"/>
        <xdr:cNvSpPr>
          <a:spLocks/>
        </xdr:cNvSpPr>
      </xdr:nvSpPr>
      <xdr:spPr>
        <a:xfrm flipV="1">
          <a:off x="9753600" y="62960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257175</xdr:colOff>
      <xdr:row>33</xdr:row>
      <xdr:rowOff>85725</xdr:rowOff>
    </xdr:from>
    <xdr:to>
      <xdr:col>11</xdr:col>
      <xdr:colOff>533400</xdr:colOff>
      <xdr:row>37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10125075" y="6143625"/>
          <a:ext cx="276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533400</xdr:colOff>
      <xdr:row>40</xdr:row>
      <xdr:rowOff>57150</xdr:rowOff>
    </xdr:from>
    <xdr:to>
      <xdr:col>11</xdr:col>
      <xdr:colOff>180975</xdr:colOff>
      <xdr:row>41</xdr:row>
      <xdr:rowOff>38100</xdr:rowOff>
    </xdr:to>
    <xdr:sp>
      <xdr:nvSpPr>
        <xdr:cNvPr id="23" name="Text 23"/>
        <xdr:cNvSpPr txBox="1">
          <a:spLocks noChangeArrowheads="1"/>
        </xdr:cNvSpPr>
      </xdr:nvSpPr>
      <xdr:spPr>
        <a:xfrm>
          <a:off x="9448800" y="7524750"/>
          <a:ext cx="600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Slope D
</a:t>
          </a:r>
        </a:p>
      </xdr:txBody>
    </xdr:sp>
    <xdr:clientData/>
  </xdr:twoCellAnchor>
  <xdr:twoCellAnchor>
    <xdr:from>
      <xdr:col>11</xdr:col>
      <xdr:colOff>304800</xdr:colOff>
      <xdr:row>36</xdr:row>
      <xdr:rowOff>190500</xdr:rowOff>
    </xdr:from>
    <xdr:to>
      <xdr:col>11</xdr:col>
      <xdr:colOff>828675</xdr:colOff>
      <xdr:row>38</xdr:row>
      <xdr:rowOff>47625</xdr:rowOff>
    </xdr:to>
    <xdr:sp>
      <xdr:nvSpPr>
        <xdr:cNvPr id="24" name="Text 24"/>
        <xdr:cNvSpPr txBox="1">
          <a:spLocks noChangeArrowheads="1"/>
        </xdr:cNvSpPr>
      </xdr:nvSpPr>
      <xdr:spPr>
        <a:xfrm>
          <a:off x="10172700" y="6781800"/>
          <a:ext cx="5238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Slope E
</a:t>
          </a:r>
        </a:p>
      </xdr:txBody>
    </xdr:sp>
    <xdr:clientData/>
  </xdr:twoCellAnchor>
  <xdr:twoCellAnchor>
    <xdr:from>
      <xdr:col>9</xdr:col>
      <xdr:colOff>647700</xdr:colOff>
      <xdr:row>26</xdr:row>
      <xdr:rowOff>9525</xdr:rowOff>
    </xdr:from>
    <xdr:to>
      <xdr:col>10</xdr:col>
      <xdr:colOff>685800</xdr:colOff>
      <xdr:row>27</xdr:row>
      <xdr:rowOff>161925</xdr:rowOff>
    </xdr:to>
    <xdr:sp>
      <xdr:nvSpPr>
        <xdr:cNvPr id="25" name="Text 25"/>
        <xdr:cNvSpPr txBox="1">
          <a:spLocks noChangeArrowheads="1"/>
        </xdr:cNvSpPr>
      </xdr:nvSpPr>
      <xdr:spPr>
        <a:xfrm>
          <a:off x="8639175" y="4676775"/>
          <a:ext cx="962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Cross-Section
</a:t>
          </a: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Definitions
</a:t>
          </a:r>
        </a:p>
      </xdr:txBody>
    </xdr:sp>
    <xdr:clientData/>
  </xdr:twoCellAnchor>
  <xdr:twoCellAnchor>
    <xdr:from>
      <xdr:col>10</xdr:col>
      <xdr:colOff>9525</xdr:colOff>
      <xdr:row>29</xdr:row>
      <xdr:rowOff>104775</xdr:rowOff>
    </xdr:from>
    <xdr:to>
      <xdr:col>10</xdr:col>
      <xdr:colOff>190500</xdr:colOff>
      <xdr:row>30</xdr:row>
      <xdr:rowOff>38100</xdr:rowOff>
    </xdr:to>
    <xdr:sp>
      <xdr:nvSpPr>
        <xdr:cNvPr id="26" name="Rectangle 32"/>
        <xdr:cNvSpPr>
          <a:spLocks/>
        </xdr:cNvSpPr>
      </xdr:nvSpPr>
      <xdr:spPr>
        <a:xfrm>
          <a:off x="8924925" y="5476875"/>
          <a:ext cx="1809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123825</xdr:rowOff>
    </xdr:from>
    <xdr:to>
      <xdr:col>10</xdr:col>
      <xdr:colOff>161925</xdr:colOff>
      <xdr:row>30</xdr:row>
      <xdr:rowOff>0</xdr:rowOff>
    </xdr:to>
    <xdr:sp>
      <xdr:nvSpPr>
        <xdr:cNvPr id="27" name="Rectangle 33"/>
        <xdr:cNvSpPr>
          <a:spLocks/>
        </xdr:cNvSpPr>
      </xdr:nvSpPr>
      <xdr:spPr>
        <a:xfrm>
          <a:off x="9029700" y="54959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114300</xdr:colOff>
      <xdr:row>30</xdr:row>
      <xdr:rowOff>38100</xdr:rowOff>
    </xdr:from>
    <xdr:to>
      <xdr:col>10</xdr:col>
      <xdr:colOff>123825</xdr:colOff>
      <xdr:row>31</xdr:row>
      <xdr:rowOff>123825</xdr:rowOff>
    </xdr:to>
    <xdr:sp>
      <xdr:nvSpPr>
        <xdr:cNvPr id="28" name="Rectangle 35"/>
        <xdr:cNvSpPr>
          <a:spLocks/>
        </xdr:cNvSpPr>
      </xdr:nvSpPr>
      <xdr:spPr>
        <a:xfrm>
          <a:off x="9029700" y="5581650"/>
          <a:ext cx="19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38100</xdr:colOff>
      <xdr:row>29</xdr:row>
      <xdr:rowOff>123825</xdr:rowOff>
    </xdr:from>
    <xdr:to>
      <xdr:col>10</xdr:col>
      <xdr:colOff>114300</xdr:colOff>
      <xdr:row>29</xdr:row>
      <xdr:rowOff>123825</xdr:rowOff>
    </xdr:to>
    <xdr:sp>
      <xdr:nvSpPr>
        <xdr:cNvPr id="29" name="Line 36"/>
        <xdr:cNvSpPr>
          <a:spLocks/>
        </xdr:cNvSpPr>
      </xdr:nvSpPr>
      <xdr:spPr>
        <a:xfrm flipH="1">
          <a:off x="8953500" y="5495925"/>
          <a:ext cx="66675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142875</xdr:rowOff>
    </xdr:from>
    <xdr:to>
      <xdr:col>10</xdr:col>
      <xdr:colOff>838200</xdr:colOff>
      <xdr:row>29</xdr:row>
      <xdr:rowOff>95250</xdr:rowOff>
    </xdr:to>
    <xdr:sp>
      <xdr:nvSpPr>
        <xdr:cNvPr id="30" name="Line 37"/>
        <xdr:cNvSpPr>
          <a:spLocks/>
        </xdr:cNvSpPr>
      </xdr:nvSpPr>
      <xdr:spPr>
        <a:xfrm flipH="1">
          <a:off x="9115425" y="5162550"/>
          <a:ext cx="638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838200</xdr:colOff>
      <xdr:row>27</xdr:row>
      <xdr:rowOff>104775</xdr:rowOff>
    </xdr:from>
    <xdr:to>
      <xdr:col>11</xdr:col>
      <xdr:colOff>742950</xdr:colOff>
      <xdr:row>30</xdr:row>
      <xdr:rowOff>85725</xdr:rowOff>
    </xdr:to>
    <xdr:sp>
      <xdr:nvSpPr>
        <xdr:cNvPr id="31" name="Text 38"/>
        <xdr:cNvSpPr txBox="1">
          <a:spLocks noChangeArrowheads="1"/>
        </xdr:cNvSpPr>
      </xdr:nvSpPr>
      <xdr:spPr>
        <a:xfrm>
          <a:off x="9753600" y="4943475"/>
          <a:ext cx="857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obstacle may be designated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place of a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slope area
</a:t>
          </a:r>
        </a:p>
      </xdr:txBody>
    </xdr:sp>
    <xdr:clientData/>
  </xdr:twoCellAnchor>
  <xdr:twoCellAnchor>
    <xdr:from>
      <xdr:col>11</xdr:col>
      <xdr:colOff>114300</xdr:colOff>
      <xdr:row>3</xdr:row>
      <xdr:rowOff>0</xdr:rowOff>
    </xdr:from>
    <xdr:to>
      <xdr:col>11</xdr:col>
      <xdr:colOff>561975</xdr:colOff>
      <xdr:row>7</xdr:row>
      <xdr:rowOff>57150</xdr:rowOff>
    </xdr:to>
    <xdr:sp>
      <xdr:nvSpPr>
        <xdr:cNvPr id="32" name="Rectangle 41"/>
        <xdr:cNvSpPr>
          <a:spLocks/>
        </xdr:cNvSpPr>
      </xdr:nvSpPr>
      <xdr:spPr>
        <a:xfrm>
          <a:off x="9982200" y="542925"/>
          <a:ext cx="447675" cy="7620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847725</xdr:colOff>
      <xdr:row>2</xdr:row>
      <xdr:rowOff>28575</xdr:rowOff>
    </xdr:from>
    <xdr:to>
      <xdr:col>9</xdr:col>
      <xdr:colOff>847725</xdr:colOff>
      <xdr:row>21</xdr:row>
      <xdr:rowOff>123825</xdr:rowOff>
    </xdr:to>
    <xdr:sp>
      <xdr:nvSpPr>
        <xdr:cNvPr id="33" name="Line 48"/>
        <xdr:cNvSpPr>
          <a:spLocks/>
        </xdr:cNvSpPr>
      </xdr:nvSpPr>
      <xdr:spPr>
        <a:xfrm>
          <a:off x="8839200" y="381000"/>
          <a:ext cx="0" cy="35147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847725</xdr:colOff>
      <xdr:row>7</xdr:row>
      <xdr:rowOff>152400</xdr:rowOff>
    </xdr:from>
    <xdr:to>
      <xdr:col>11</xdr:col>
      <xdr:colOff>590550</xdr:colOff>
      <xdr:row>20</xdr:row>
      <xdr:rowOff>114300</xdr:rowOff>
    </xdr:to>
    <xdr:sp>
      <xdr:nvSpPr>
        <xdr:cNvPr id="34" name="Drawing 54"/>
        <xdr:cNvSpPr>
          <a:spLocks/>
        </xdr:cNvSpPr>
      </xdr:nvSpPr>
      <xdr:spPr>
        <a:xfrm>
          <a:off x="8839200" y="1400175"/>
          <a:ext cx="1619250" cy="2305050"/>
        </a:xfrm>
        <a:custGeom>
          <a:pathLst>
            <a:path h="16384" w="16384">
              <a:moveTo>
                <a:pt x="12998" y="0"/>
              </a:moveTo>
              <a:lnTo>
                <a:pt x="16384" y="0"/>
              </a:lnTo>
              <a:lnTo>
                <a:pt x="0" y="16384"/>
              </a:lnTo>
              <a:lnTo>
                <a:pt x="0" y="13122"/>
              </a:lnTo>
              <a:lnTo>
                <a:pt x="12998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114300</xdr:colOff>
      <xdr:row>3</xdr:row>
      <xdr:rowOff>0</xdr:rowOff>
    </xdr:from>
    <xdr:to>
      <xdr:col>11</xdr:col>
      <xdr:colOff>571500</xdr:colOff>
      <xdr:row>7</xdr:row>
      <xdr:rowOff>57150</xdr:rowOff>
    </xdr:to>
    <xdr:sp>
      <xdr:nvSpPr>
        <xdr:cNvPr id="35" name="Text 57"/>
        <xdr:cNvSpPr txBox="1">
          <a:spLocks noChangeArrowheads="1"/>
        </xdr:cNvSpPr>
      </xdr:nvSpPr>
      <xdr:spPr>
        <a:xfrm>
          <a:off x="9982200" y="542925"/>
          <a:ext cx="447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Obstacle
</a:t>
          </a:r>
        </a:p>
      </xdr:txBody>
    </xdr:sp>
    <xdr:clientData/>
  </xdr:twoCellAnchor>
  <xdr:twoCellAnchor>
    <xdr:from>
      <xdr:col>10</xdr:col>
      <xdr:colOff>647700</xdr:colOff>
      <xdr:row>10</xdr:row>
      <xdr:rowOff>123825</xdr:rowOff>
    </xdr:from>
    <xdr:to>
      <xdr:col>11</xdr:col>
      <xdr:colOff>76200</xdr:colOff>
      <xdr:row>12</xdr:row>
      <xdr:rowOff>66675</xdr:rowOff>
    </xdr:to>
    <xdr:sp>
      <xdr:nvSpPr>
        <xdr:cNvPr id="36" name="Line 60"/>
        <xdr:cNvSpPr>
          <a:spLocks/>
        </xdr:cNvSpPr>
      </xdr:nvSpPr>
      <xdr:spPr>
        <a:xfrm flipH="1" flipV="1">
          <a:off x="9563100" y="1990725"/>
          <a:ext cx="3810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57150</xdr:rowOff>
    </xdr:from>
    <xdr:to>
      <xdr:col>11</xdr:col>
      <xdr:colOff>571500</xdr:colOff>
      <xdr:row>13</xdr:row>
      <xdr:rowOff>38100</xdr:rowOff>
    </xdr:to>
    <xdr:sp>
      <xdr:nvSpPr>
        <xdr:cNvPr id="37" name="Text 59"/>
        <xdr:cNvSpPr txBox="1">
          <a:spLocks noChangeArrowheads="1"/>
        </xdr:cNvSpPr>
      </xdr:nvSpPr>
      <xdr:spPr>
        <a:xfrm>
          <a:off x="9934575" y="2266950"/>
          <a:ext cx="504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Zone 2</a:t>
          </a:r>
        </a:p>
      </xdr:txBody>
    </xdr:sp>
    <xdr:clientData/>
  </xdr:twoCellAnchor>
  <xdr:twoCellAnchor>
    <xdr:from>
      <xdr:col>10</xdr:col>
      <xdr:colOff>638175</xdr:colOff>
      <xdr:row>12</xdr:row>
      <xdr:rowOff>152400</xdr:rowOff>
    </xdr:from>
    <xdr:to>
      <xdr:col>11</xdr:col>
      <xdr:colOff>85725</xdr:colOff>
      <xdr:row>14</xdr:row>
      <xdr:rowOff>19050</xdr:rowOff>
    </xdr:to>
    <xdr:sp>
      <xdr:nvSpPr>
        <xdr:cNvPr id="38" name="Line 61"/>
        <xdr:cNvSpPr>
          <a:spLocks/>
        </xdr:cNvSpPr>
      </xdr:nvSpPr>
      <xdr:spPr>
        <a:xfrm flipH="1" flipV="1">
          <a:off x="9553575" y="2362200"/>
          <a:ext cx="400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76200</xdr:colOff>
      <xdr:row>14</xdr:row>
      <xdr:rowOff>9525</xdr:rowOff>
    </xdr:from>
    <xdr:to>
      <xdr:col>11</xdr:col>
      <xdr:colOff>600075</xdr:colOff>
      <xdr:row>14</xdr:row>
      <xdr:rowOff>152400</xdr:rowOff>
    </xdr:to>
    <xdr:sp>
      <xdr:nvSpPr>
        <xdr:cNvPr id="39" name="Text 58"/>
        <xdr:cNvSpPr txBox="1">
          <a:spLocks noChangeArrowheads="1"/>
        </xdr:cNvSpPr>
      </xdr:nvSpPr>
      <xdr:spPr>
        <a:xfrm>
          <a:off x="9944100" y="2562225"/>
          <a:ext cx="523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Zone 1</a:t>
          </a: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</a:p>
      </xdr:txBody>
    </xdr:sp>
    <xdr:clientData/>
  </xdr:twoCellAnchor>
  <xdr:twoCellAnchor>
    <xdr:from>
      <xdr:col>10</xdr:col>
      <xdr:colOff>266700</xdr:colOff>
      <xdr:row>7</xdr:row>
      <xdr:rowOff>123825</xdr:rowOff>
    </xdr:from>
    <xdr:to>
      <xdr:col>10</xdr:col>
      <xdr:colOff>771525</xdr:colOff>
      <xdr:row>8</xdr:row>
      <xdr:rowOff>19050</xdr:rowOff>
    </xdr:to>
    <xdr:sp>
      <xdr:nvSpPr>
        <xdr:cNvPr id="40" name="Text 62"/>
        <xdr:cNvSpPr txBox="1">
          <a:spLocks noChangeArrowheads="1"/>
        </xdr:cNvSpPr>
      </xdr:nvSpPr>
      <xdr:spPr>
        <a:xfrm>
          <a:off x="9182100" y="1371600"/>
          <a:ext cx="514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Zone 3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133350</xdr:colOff>
      <xdr:row>2</xdr:row>
      <xdr:rowOff>104775</xdr:rowOff>
    </xdr:to>
    <xdr:sp>
      <xdr:nvSpPr>
        <xdr:cNvPr id="41" name="Line 63"/>
        <xdr:cNvSpPr>
          <a:spLocks/>
        </xdr:cNvSpPr>
      </xdr:nvSpPr>
      <xdr:spPr>
        <a:xfrm flipV="1">
          <a:off x="10001250" y="4286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533400</xdr:colOff>
      <xdr:row>1</xdr:row>
      <xdr:rowOff>152400</xdr:rowOff>
    </xdr:from>
    <xdr:to>
      <xdr:col>11</xdr:col>
      <xdr:colOff>533400</xdr:colOff>
      <xdr:row>2</xdr:row>
      <xdr:rowOff>0</xdr:rowOff>
    </xdr:to>
    <xdr:sp>
      <xdr:nvSpPr>
        <xdr:cNvPr id="42" name="Line 64"/>
        <xdr:cNvSpPr>
          <a:spLocks/>
        </xdr:cNvSpPr>
      </xdr:nvSpPr>
      <xdr:spPr>
        <a:xfrm flipV="1">
          <a:off x="10401300" y="323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533400</xdr:colOff>
      <xdr:row>2</xdr:row>
      <xdr:rowOff>76200</xdr:rowOff>
    </xdr:to>
    <xdr:sp>
      <xdr:nvSpPr>
        <xdr:cNvPr id="43" name="Line 65"/>
        <xdr:cNvSpPr>
          <a:spLocks/>
        </xdr:cNvSpPr>
      </xdr:nvSpPr>
      <xdr:spPr>
        <a:xfrm>
          <a:off x="10001250" y="428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38100</xdr:colOff>
      <xdr:row>1</xdr:row>
      <xdr:rowOff>57150</xdr:rowOff>
    </xdr:from>
    <xdr:to>
      <xdr:col>11</xdr:col>
      <xdr:colOff>523875</xdr:colOff>
      <xdr:row>2</xdr:row>
      <xdr:rowOff>38100</xdr:rowOff>
    </xdr:to>
    <xdr:sp>
      <xdr:nvSpPr>
        <xdr:cNvPr id="44" name="Text 66"/>
        <xdr:cNvSpPr txBox="1">
          <a:spLocks noChangeArrowheads="1"/>
        </xdr:cNvSpPr>
      </xdr:nvSpPr>
      <xdr:spPr>
        <a:xfrm>
          <a:off x="9906000" y="228600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Width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161925</xdr:colOff>
      <xdr:row>2</xdr:row>
      <xdr:rowOff>76200</xdr:rowOff>
    </xdr:from>
    <xdr:to>
      <xdr:col>11</xdr:col>
      <xdr:colOff>419100</xdr:colOff>
      <xdr:row>2</xdr:row>
      <xdr:rowOff>76200</xdr:rowOff>
    </xdr:to>
    <xdr:sp>
      <xdr:nvSpPr>
        <xdr:cNvPr id="45" name="Line 67"/>
        <xdr:cNvSpPr>
          <a:spLocks/>
        </xdr:cNvSpPr>
      </xdr:nvSpPr>
      <xdr:spPr>
        <a:xfrm flipH="1">
          <a:off x="10029825" y="428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628650</xdr:colOff>
      <xdr:row>7</xdr:row>
      <xdr:rowOff>47625</xdr:rowOff>
    </xdr:from>
    <xdr:to>
      <xdr:col>11</xdr:col>
      <xdr:colOff>942975</xdr:colOff>
      <xdr:row>7</xdr:row>
      <xdr:rowOff>47625</xdr:rowOff>
    </xdr:to>
    <xdr:sp>
      <xdr:nvSpPr>
        <xdr:cNvPr id="46" name="Line 69"/>
        <xdr:cNvSpPr>
          <a:spLocks/>
        </xdr:cNvSpPr>
      </xdr:nvSpPr>
      <xdr:spPr>
        <a:xfrm>
          <a:off x="10496550" y="12954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885825</xdr:colOff>
      <xdr:row>3</xdr:row>
      <xdr:rowOff>0</xdr:rowOff>
    </xdr:from>
    <xdr:to>
      <xdr:col>11</xdr:col>
      <xdr:colOff>885825</xdr:colOff>
      <xdr:row>7</xdr:row>
      <xdr:rowOff>47625</xdr:rowOff>
    </xdr:to>
    <xdr:sp>
      <xdr:nvSpPr>
        <xdr:cNvPr id="47" name="Line 70"/>
        <xdr:cNvSpPr>
          <a:spLocks/>
        </xdr:cNvSpPr>
      </xdr:nvSpPr>
      <xdr:spPr>
        <a:xfrm>
          <a:off x="10753725" y="5429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885825</xdr:colOff>
      <xdr:row>3</xdr:row>
      <xdr:rowOff>0</xdr:rowOff>
    </xdr:from>
    <xdr:to>
      <xdr:col>11</xdr:col>
      <xdr:colOff>885825</xdr:colOff>
      <xdr:row>7</xdr:row>
      <xdr:rowOff>47625</xdr:rowOff>
    </xdr:to>
    <xdr:sp>
      <xdr:nvSpPr>
        <xdr:cNvPr id="48" name="Line 71"/>
        <xdr:cNvSpPr>
          <a:spLocks/>
        </xdr:cNvSpPr>
      </xdr:nvSpPr>
      <xdr:spPr>
        <a:xfrm flipV="1">
          <a:off x="10753725" y="5429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514350</xdr:colOff>
      <xdr:row>3</xdr:row>
      <xdr:rowOff>0</xdr:rowOff>
    </xdr:from>
    <xdr:to>
      <xdr:col>11</xdr:col>
      <xdr:colOff>828675</xdr:colOff>
      <xdr:row>6</xdr:row>
      <xdr:rowOff>171450</xdr:rowOff>
    </xdr:to>
    <xdr:sp>
      <xdr:nvSpPr>
        <xdr:cNvPr id="49" name="Text 72"/>
        <xdr:cNvSpPr txBox="1">
          <a:spLocks noChangeArrowheads="1"/>
        </xdr:cNvSpPr>
      </xdr:nvSpPr>
      <xdr:spPr>
        <a:xfrm>
          <a:off x="10382250" y="542925"/>
          <a:ext cx="3143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Length
</a:t>
          </a:r>
        </a:p>
      </xdr:txBody>
    </xdr:sp>
    <xdr:clientData/>
  </xdr:twoCellAnchor>
  <xdr:twoCellAnchor>
    <xdr:from>
      <xdr:col>9</xdr:col>
      <xdr:colOff>419100</xdr:colOff>
      <xdr:row>1</xdr:row>
      <xdr:rowOff>142875</xdr:rowOff>
    </xdr:from>
    <xdr:to>
      <xdr:col>9</xdr:col>
      <xdr:colOff>771525</xdr:colOff>
      <xdr:row>11</xdr:row>
      <xdr:rowOff>133350</xdr:rowOff>
    </xdr:to>
    <xdr:sp>
      <xdr:nvSpPr>
        <xdr:cNvPr id="50" name="Text 73"/>
        <xdr:cNvSpPr txBox="1">
          <a:spLocks noChangeArrowheads="1"/>
        </xdr:cNvSpPr>
      </xdr:nvSpPr>
      <xdr:spPr>
        <a:xfrm>
          <a:off x="8410575" y="314325"/>
          <a:ext cx="35242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EOTW - Edge of Traveled Way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</a:p>
      </xdr:txBody>
    </xdr:sp>
    <xdr:clientData/>
  </xdr:twoCellAnchor>
  <xdr:twoCellAnchor>
    <xdr:from>
      <xdr:col>9</xdr:col>
      <xdr:colOff>847725</xdr:colOff>
      <xdr:row>13</xdr:row>
      <xdr:rowOff>85725</xdr:rowOff>
    </xdr:from>
    <xdr:to>
      <xdr:col>10</xdr:col>
      <xdr:colOff>123825</xdr:colOff>
      <xdr:row>14</xdr:row>
      <xdr:rowOff>47625</xdr:rowOff>
    </xdr:to>
    <xdr:sp>
      <xdr:nvSpPr>
        <xdr:cNvPr id="51" name="Arc 74"/>
        <xdr:cNvSpPr>
          <a:spLocks/>
        </xdr:cNvSpPr>
      </xdr:nvSpPr>
      <xdr:spPr>
        <a:xfrm>
          <a:off x="8839200" y="2466975"/>
          <a:ext cx="200025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38100</xdr:colOff>
      <xdr:row>12</xdr:row>
      <xdr:rowOff>152400</xdr:rowOff>
    </xdr:from>
    <xdr:to>
      <xdr:col>10</xdr:col>
      <xdr:colOff>38100</xdr:colOff>
      <xdr:row>13</xdr:row>
      <xdr:rowOff>114300</xdr:rowOff>
    </xdr:to>
    <xdr:sp>
      <xdr:nvSpPr>
        <xdr:cNvPr id="52" name="Line 75"/>
        <xdr:cNvSpPr>
          <a:spLocks/>
        </xdr:cNvSpPr>
      </xdr:nvSpPr>
      <xdr:spPr>
        <a:xfrm flipH="1">
          <a:off x="8953500" y="23622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628650</xdr:colOff>
      <xdr:row>12</xdr:row>
      <xdr:rowOff>123825</xdr:rowOff>
    </xdr:from>
    <xdr:to>
      <xdr:col>10</xdr:col>
      <xdr:colOff>38100</xdr:colOff>
      <xdr:row>12</xdr:row>
      <xdr:rowOff>152400</xdr:rowOff>
    </xdr:to>
    <xdr:sp>
      <xdr:nvSpPr>
        <xdr:cNvPr id="53" name="Line 76"/>
        <xdr:cNvSpPr>
          <a:spLocks/>
        </xdr:cNvSpPr>
      </xdr:nvSpPr>
      <xdr:spPr>
        <a:xfrm flipH="1" flipV="1">
          <a:off x="8620125" y="2333625"/>
          <a:ext cx="3333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523875</xdr:colOff>
      <xdr:row>11</xdr:row>
      <xdr:rowOff>171450</xdr:rowOff>
    </xdr:from>
    <xdr:to>
      <xdr:col>9</xdr:col>
      <xdr:colOff>628650</xdr:colOff>
      <xdr:row>13</xdr:row>
      <xdr:rowOff>95250</xdr:rowOff>
    </xdr:to>
    <xdr:sp>
      <xdr:nvSpPr>
        <xdr:cNvPr id="54" name="Text 77"/>
        <xdr:cNvSpPr txBox="1">
          <a:spLocks noChangeArrowheads="1"/>
        </xdr:cNvSpPr>
      </xdr:nvSpPr>
      <xdr:spPr>
        <a:xfrm>
          <a:off x="7600950" y="2209800"/>
          <a:ext cx="1019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Encroachment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Angle</a:t>
          </a:r>
        </a:p>
      </xdr:txBody>
    </xdr:sp>
    <xdr:clientData/>
  </xdr:twoCellAnchor>
  <xdr:twoCellAnchor>
    <xdr:from>
      <xdr:col>10</xdr:col>
      <xdr:colOff>752475</xdr:colOff>
      <xdr:row>9</xdr:row>
      <xdr:rowOff>9525</xdr:rowOff>
    </xdr:from>
    <xdr:to>
      <xdr:col>11</xdr:col>
      <xdr:colOff>9525</xdr:colOff>
      <xdr:row>9</xdr:row>
      <xdr:rowOff>123825</xdr:rowOff>
    </xdr:to>
    <xdr:sp>
      <xdr:nvSpPr>
        <xdr:cNvPr id="55" name="Line 79"/>
        <xdr:cNvSpPr>
          <a:spLocks/>
        </xdr:cNvSpPr>
      </xdr:nvSpPr>
      <xdr:spPr>
        <a:xfrm>
          <a:off x="9667875" y="1704975"/>
          <a:ext cx="209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752475</xdr:colOff>
      <xdr:row>9</xdr:row>
      <xdr:rowOff>9525</xdr:rowOff>
    </xdr:from>
    <xdr:to>
      <xdr:col>10</xdr:col>
      <xdr:colOff>895350</xdr:colOff>
      <xdr:row>9</xdr:row>
      <xdr:rowOff>95250</xdr:rowOff>
    </xdr:to>
    <xdr:sp>
      <xdr:nvSpPr>
        <xdr:cNvPr id="56" name="Line 80"/>
        <xdr:cNvSpPr>
          <a:spLocks/>
        </xdr:cNvSpPr>
      </xdr:nvSpPr>
      <xdr:spPr>
        <a:xfrm flipH="1" flipV="1">
          <a:off x="9667875" y="170497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114300</xdr:rowOff>
    </xdr:from>
    <xdr:to>
      <xdr:col>11</xdr:col>
      <xdr:colOff>266700</xdr:colOff>
      <xdr:row>10</xdr:row>
      <xdr:rowOff>104775</xdr:rowOff>
    </xdr:to>
    <xdr:sp>
      <xdr:nvSpPr>
        <xdr:cNvPr id="57" name="Line 81"/>
        <xdr:cNvSpPr>
          <a:spLocks/>
        </xdr:cNvSpPr>
      </xdr:nvSpPr>
      <xdr:spPr>
        <a:xfrm>
          <a:off x="9867900" y="1809750"/>
          <a:ext cx="266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257175</xdr:colOff>
      <xdr:row>10</xdr:row>
      <xdr:rowOff>95250</xdr:rowOff>
    </xdr:from>
    <xdr:to>
      <xdr:col>11</xdr:col>
      <xdr:colOff>495300</xdr:colOff>
      <xdr:row>10</xdr:row>
      <xdr:rowOff>95250</xdr:rowOff>
    </xdr:to>
    <xdr:sp>
      <xdr:nvSpPr>
        <xdr:cNvPr id="58" name="Line 82"/>
        <xdr:cNvSpPr>
          <a:spLocks/>
        </xdr:cNvSpPr>
      </xdr:nvSpPr>
      <xdr:spPr>
        <a:xfrm>
          <a:off x="10125075" y="1962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485775</xdr:colOff>
      <xdr:row>9</xdr:row>
      <xdr:rowOff>95250</xdr:rowOff>
    </xdr:from>
    <xdr:to>
      <xdr:col>11</xdr:col>
      <xdr:colOff>933450</xdr:colOff>
      <xdr:row>11</xdr:row>
      <xdr:rowOff>38100</xdr:rowOff>
    </xdr:to>
    <xdr:sp>
      <xdr:nvSpPr>
        <xdr:cNvPr id="59" name="Text 78"/>
        <xdr:cNvSpPr txBox="1">
          <a:spLocks noChangeArrowheads="1"/>
        </xdr:cNvSpPr>
      </xdr:nvSpPr>
      <xdr:spPr>
        <a:xfrm>
          <a:off x="10353675" y="1790700"/>
          <a:ext cx="447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Swath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Width
</a:t>
          </a:r>
        </a:p>
      </xdr:txBody>
    </xdr:sp>
    <xdr:clientData/>
  </xdr:twoCellAnchor>
  <xdr:twoCellAnchor>
    <xdr:from>
      <xdr:col>9</xdr:col>
      <xdr:colOff>647700</xdr:colOff>
      <xdr:row>22</xdr:row>
      <xdr:rowOff>19050</xdr:rowOff>
    </xdr:from>
    <xdr:to>
      <xdr:col>11</xdr:col>
      <xdr:colOff>285750</xdr:colOff>
      <xdr:row>23</xdr:row>
      <xdr:rowOff>171450</xdr:rowOff>
    </xdr:to>
    <xdr:sp>
      <xdr:nvSpPr>
        <xdr:cNvPr id="60" name="Text 83"/>
        <xdr:cNvSpPr txBox="1">
          <a:spLocks noChangeArrowheads="1"/>
        </xdr:cNvSpPr>
      </xdr:nvSpPr>
      <xdr:spPr>
        <a:xfrm>
          <a:off x="8639175" y="3962400"/>
          <a:ext cx="1514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Roadside Model
</a:t>
          </a: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for Adjacent Traffic</a:t>
          </a:r>
        </a:p>
      </xdr:txBody>
    </xdr:sp>
    <xdr:clientData/>
  </xdr:twoCellAnchor>
  <xdr:twoCellAnchor>
    <xdr:from>
      <xdr:col>6</xdr:col>
      <xdr:colOff>619125</xdr:colOff>
      <xdr:row>9</xdr:row>
      <xdr:rowOff>9525</xdr:rowOff>
    </xdr:from>
    <xdr:to>
      <xdr:col>7</xdr:col>
      <xdr:colOff>609600</xdr:colOff>
      <xdr:row>10</xdr:row>
      <xdr:rowOff>0</xdr:rowOff>
    </xdr:to>
    <xdr:sp>
      <xdr:nvSpPr>
        <xdr:cNvPr id="61" name="Text 84"/>
        <xdr:cNvSpPr txBox="1">
          <a:spLocks noChangeArrowheads="1"/>
        </xdr:cNvSpPr>
      </xdr:nvSpPr>
      <xdr:spPr>
        <a:xfrm>
          <a:off x="5905500" y="1704975"/>
          <a:ext cx="8572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Input Codes</a:t>
          </a:r>
        </a:p>
      </xdr:txBody>
    </xdr:sp>
    <xdr:clientData/>
  </xdr:twoCellAnchor>
  <xdr:twoCellAnchor>
    <xdr:from>
      <xdr:col>4</xdr:col>
      <xdr:colOff>876300</xdr:colOff>
      <xdr:row>14</xdr:row>
      <xdr:rowOff>9525</xdr:rowOff>
    </xdr:from>
    <xdr:to>
      <xdr:col>6</xdr:col>
      <xdr:colOff>47625</xdr:colOff>
      <xdr:row>16</xdr:row>
      <xdr:rowOff>66675</xdr:rowOff>
    </xdr:to>
    <xdr:sp>
      <xdr:nvSpPr>
        <xdr:cNvPr id="62" name="Line 86"/>
        <xdr:cNvSpPr>
          <a:spLocks/>
        </xdr:cNvSpPr>
      </xdr:nvSpPr>
      <xdr:spPr>
        <a:xfrm flipH="1">
          <a:off x="4333875" y="2562225"/>
          <a:ext cx="1000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161925</xdr:rowOff>
    </xdr:from>
    <xdr:to>
      <xdr:col>6</xdr:col>
      <xdr:colOff>0</xdr:colOff>
      <xdr:row>17</xdr:row>
      <xdr:rowOff>66675</xdr:rowOff>
    </xdr:to>
    <xdr:sp>
      <xdr:nvSpPr>
        <xdr:cNvPr id="63" name="Line 88"/>
        <xdr:cNvSpPr>
          <a:spLocks/>
        </xdr:cNvSpPr>
      </xdr:nvSpPr>
      <xdr:spPr>
        <a:xfrm flipH="1">
          <a:off x="4362450" y="3057525"/>
          <a:ext cx="923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104775</xdr:rowOff>
    </xdr:from>
    <xdr:to>
      <xdr:col>8</xdr:col>
      <xdr:colOff>419100</xdr:colOff>
      <xdr:row>14</xdr:row>
      <xdr:rowOff>47625</xdr:rowOff>
    </xdr:to>
    <xdr:sp>
      <xdr:nvSpPr>
        <xdr:cNvPr id="64" name="Text 87"/>
        <xdr:cNvSpPr txBox="1">
          <a:spLocks noChangeArrowheads="1"/>
        </xdr:cNvSpPr>
      </xdr:nvSpPr>
      <xdr:spPr>
        <a:xfrm>
          <a:off x="5286375" y="2143125"/>
          <a:ext cx="2209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= Undivided Roadway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= Divided Roaday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One-Way Roadway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8</xdr:col>
      <xdr:colOff>419100</xdr:colOff>
      <xdr:row>25</xdr:row>
      <xdr:rowOff>0</xdr:rowOff>
    </xdr:to>
    <xdr:sp>
      <xdr:nvSpPr>
        <xdr:cNvPr id="65" name="Text 89"/>
        <xdr:cNvSpPr txBox="1">
          <a:spLocks noChangeArrowheads="1"/>
        </xdr:cNvSpPr>
      </xdr:nvSpPr>
      <xdr:spPr>
        <a:xfrm>
          <a:off x="5286375" y="3771900"/>
          <a:ext cx="22098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= Fill Slope (downhill *)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= Cut Slope (uphill *)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Obstacle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from the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edge-of-traveled-way</a:t>
          </a:r>
        </a:p>
      </xdr:txBody>
    </xdr:sp>
    <xdr:clientData/>
  </xdr:twoCellAnchor>
  <xdr:twoCellAnchor>
    <xdr:from>
      <xdr:col>1</xdr:col>
      <xdr:colOff>571500</xdr:colOff>
      <xdr:row>23</xdr:row>
      <xdr:rowOff>133350</xdr:rowOff>
    </xdr:from>
    <xdr:to>
      <xdr:col>5</xdr:col>
      <xdr:colOff>914400</xdr:colOff>
      <xdr:row>29</xdr:row>
      <xdr:rowOff>0</xdr:rowOff>
    </xdr:to>
    <xdr:sp>
      <xdr:nvSpPr>
        <xdr:cNvPr id="66" name="Line 90"/>
        <xdr:cNvSpPr>
          <a:spLocks/>
        </xdr:cNvSpPr>
      </xdr:nvSpPr>
      <xdr:spPr>
        <a:xfrm flipH="1">
          <a:off x="1285875" y="4257675"/>
          <a:ext cx="39909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57150</xdr:rowOff>
    </xdr:from>
    <xdr:to>
      <xdr:col>8</xdr:col>
      <xdr:colOff>533400</xdr:colOff>
      <xdr:row>20</xdr:row>
      <xdr:rowOff>0</xdr:rowOff>
    </xdr:to>
    <xdr:sp>
      <xdr:nvSpPr>
        <xdr:cNvPr id="67" name="Text 85"/>
        <xdr:cNvSpPr txBox="1">
          <a:spLocks noChangeArrowheads="1"/>
        </xdr:cNvSpPr>
      </xdr:nvSpPr>
      <xdr:spPr>
        <a:xfrm>
          <a:off x="5286375" y="2781300"/>
          <a:ext cx="23241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 Roadside Analysis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(obstacle right of adjacent traffic)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 = Median Analysis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(obstacle left of adjacent traffic)</a:t>
          </a:r>
        </a:p>
      </xdr:txBody>
    </xdr:sp>
    <xdr:clientData/>
  </xdr:twoCellAnchor>
  <xdr:twoCellAnchor>
    <xdr:from>
      <xdr:col>9</xdr:col>
      <xdr:colOff>828675</xdr:colOff>
      <xdr:row>2</xdr:row>
      <xdr:rowOff>76200</xdr:rowOff>
    </xdr:from>
    <xdr:to>
      <xdr:col>11</xdr:col>
      <xdr:colOff>104775</xdr:colOff>
      <xdr:row>2</xdr:row>
      <xdr:rowOff>76200</xdr:rowOff>
    </xdr:to>
    <xdr:sp>
      <xdr:nvSpPr>
        <xdr:cNvPr id="68" name="Line 91"/>
        <xdr:cNvSpPr>
          <a:spLocks/>
        </xdr:cNvSpPr>
      </xdr:nvSpPr>
      <xdr:spPr>
        <a:xfrm flipH="1">
          <a:off x="8820150" y="4286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647700</xdr:colOff>
      <xdr:row>2</xdr:row>
      <xdr:rowOff>76200</xdr:rowOff>
    </xdr:from>
    <xdr:to>
      <xdr:col>11</xdr:col>
      <xdr:colOff>114300</xdr:colOff>
      <xdr:row>2</xdr:row>
      <xdr:rowOff>76200</xdr:rowOff>
    </xdr:to>
    <xdr:sp>
      <xdr:nvSpPr>
        <xdr:cNvPr id="69" name="Line 92"/>
        <xdr:cNvSpPr>
          <a:spLocks/>
        </xdr:cNvSpPr>
      </xdr:nvSpPr>
      <xdr:spPr>
        <a:xfrm flipV="1">
          <a:off x="9563100" y="428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161925</xdr:colOff>
      <xdr:row>2</xdr:row>
      <xdr:rowOff>114300</xdr:rowOff>
    </xdr:from>
    <xdr:to>
      <xdr:col>10</xdr:col>
      <xdr:colOff>600075</xdr:colOff>
      <xdr:row>3</xdr:row>
      <xdr:rowOff>76200</xdr:rowOff>
    </xdr:to>
    <xdr:sp>
      <xdr:nvSpPr>
        <xdr:cNvPr id="70" name="Text 93"/>
        <xdr:cNvSpPr txBox="1">
          <a:spLocks noChangeArrowheads="1"/>
        </xdr:cNvSpPr>
      </xdr:nvSpPr>
      <xdr:spPr>
        <a:xfrm>
          <a:off x="9077325" y="466725"/>
          <a:ext cx="4381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Offset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t.alaska.gov/stwddes/dcsprecon/index.shtml" TargetMode="External" /><Relationship Id="rId2" Type="http://schemas.openxmlformats.org/officeDocument/2006/relationships/hyperlink" Target="../../../../../../../../sethomas/AppData/Local/Microsoft/Windows/Work%20Zone%20Traffic%20Control/C-6%20Work%20Zone%20Clear%20Zone/Severity_Indices/1996RDG-AppA%20Severities%20mph_ft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=@round(J4*L4/N5/P5,1)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1"/>
  <sheetViews>
    <sheetView tabSelected="1" zoomScale="90" zoomScaleNormal="90" zoomScalePageLayoutView="0" workbookViewId="0" topLeftCell="A1">
      <selection activeCell="O67" sqref="O67"/>
    </sheetView>
  </sheetViews>
  <sheetFormatPr defaultColWidth="9.00390625" defaultRowHeight="12.75"/>
  <cols>
    <col min="1" max="1" width="9.375" style="26" customWidth="1"/>
    <col min="2" max="2" width="12.125" style="26" customWidth="1"/>
    <col min="3" max="3" width="11.875" style="26" customWidth="1"/>
    <col min="4" max="4" width="12.00390625" style="26" customWidth="1"/>
    <col min="5" max="5" width="11.875" style="26" customWidth="1"/>
    <col min="6" max="6" width="12.125" style="26" customWidth="1"/>
    <col min="7" max="7" width="11.375" style="26" customWidth="1"/>
    <col min="8" max="8" width="12.125" style="26" customWidth="1"/>
    <col min="9" max="9" width="12.00390625" style="26" customWidth="1"/>
    <col min="10" max="10" width="12.125" style="26" customWidth="1"/>
    <col min="11" max="11" width="12.50390625" style="26" customWidth="1"/>
    <col min="12" max="12" width="12.375" style="26" customWidth="1"/>
    <col min="13" max="13" width="16.625" style="31" customWidth="1"/>
    <col min="14" max="14" width="9.125" style="31" customWidth="1"/>
    <col min="15" max="15" width="9.375" style="0" bestFit="1" customWidth="1"/>
    <col min="17" max="17" width="9.875" style="0" bestFit="1" customWidth="1"/>
  </cols>
  <sheetData>
    <row r="1" spans="1:15" ht="13.5">
      <c r="A1" s="25" t="s">
        <v>262</v>
      </c>
      <c r="D1" s="27"/>
      <c r="E1" s="27"/>
      <c r="F1" s="28"/>
      <c r="G1" s="27"/>
      <c r="H1" s="27"/>
      <c r="I1" s="27"/>
      <c r="J1" s="27"/>
      <c r="K1" s="27"/>
      <c r="L1" s="29" t="s">
        <v>65</v>
      </c>
      <c r="M1" s="30"/>
      <c r="O1" s="336" t="s">
        <v>231</v>
      </c>
    </row>
    <row r="2" spans="1:13" ht="14.25" thickBot="1">
      <c r="A2" s="377" t="s">
        <v>263</v>
      </c>
      <c r="B2" s="27"/>
      <c r="C2" s="27"/>
      <c r="D2" s="27"/>
      <c r="E2" s="27"/>
      <c r="F2" s="33"/>
      <c r="G2" s="32"/>
      <c r="H2" s="32"/>
      <c r="I2" s="27"/>
      <c r="J2" s="27"/>
      <c r="K2" s="27"/>
      <c r="L2" s="32"/>
      <c r="M2" s="30"/>
    </row>
    <row r="3" spans="1:13" ht="15">
      <c r="A3" s="34" t="s">
        <v>66</v>
      </c>
      <c r="B3" s="325" t="s">
        <v>233</v>
      </c>
      <c r="C3" s="326"/>
      <c r="D3" s="327"/>
      <c r="E3" s="332" t="s">
        <v>226</v>
      </c>
      <c r="F3" s="332"/>
      <c r="I3" s="176"/>
      <c r="J3" s="27"/>
      <c r="K3" s="27"/>
      <c r="L3" s="30"/>
      <c r="M3" s="30"/>
    </row>
    <row r="4" spans="1:13" ht="15.75" thickBot="1">
      <c r="A4" s="35" t="s">
        <v>67</v>
      </c>
      <c r="B4" s="328" t="s">
        <v>261</v>
      </c>
      <c r="C4" s="329"/>
      <c r="D4" s="330"/>
      <c r="E4" s="32" t="s">
        <v>227</v>
      </c>
      <c r="F4" s="32"/>
      <c r="G4" s="32"/>
      <c r="H4" s="32"/>
      <c r="I4" s="32"/>
      <c r="J4" s="34"/>
      <c r="K4" s="32"/>
      <c r="L4" s="32"/>
      <c r="M4" s="30"/>
    </row>
    <row r="5" spans="1:13" ht="12.75">
      <c r="A5" s="30" t="s">
        <v>68</v>
      </c>
      <c r="B5" s="36">
        <f ca="1">TODAY()</f>
        <v>43714</v>
      </c>
      <c r="C5" s="37">
        <f ca="1">NOW()</f>
        <v>43714.475856944446</v>
      </c>
      <c r="D5" s="32"/>
      <c r="E5" s="32"/>
      <c r="F5" s="32"/>
      <c r="G5" s="32"/>
      <c r="H5" s="32"/>
      <c r="I5" s="32"/>
      <c r="J5" s="34"/>
      <c r="K5" s="32"/>
      <c r="L5" s="32"/>
      <c r="M5" s="30"/>
    </row>
    <row r="6" spans="1:13" ht="13.5" thickBot="1">
      <c r="A6" s="27"/>
      <c r="B6" s="27"/>
      <c r="C6" s="27"/>
      <c r="D6" s="27"/>
      <c r="E6" s="27"/>
      <c r="F6" s="27"/>
      <c r="G6" s="32"/>
      <c r="H6" s="32"/>
      <c r="I6" s="32"/>
      <c r="J6" s="32"/>
      <c r="K6" s="32"/>
      <c r="L6" s="32"/>
      <c r="M6" s="30"/>
    </row>
    <row r="7" spans="1:14" ht="13.5">
      <c r="A7" s="38" t="s">
        <v>69</v>
      </c>
      <c r="B7" s="39"/>
      <c r="C7" s="39"/>
      <c r="D7" s="39"/>
      <c r="E7" s="40"/>
      <c r="F7" s="41" t="s">
        <v>70</v>
      </c>
      <c r="G7" s="32"/>
      <c r="H7" s="42"/>
      <c r="I7" s="42"/>
      <c r="J7" s="32"/>
      <c r="K7" s="42"/>
      <c r="L7" s="42"/>
      <c r="M7" s="42"/>
      <c r="N7" s="43"/>
    </row>
    <row r="8" spans="1:14" ht="21" thickBot="1">
      <c r="A8" s="44"/>
      <c r="B8" s="45"/>
      <c r="C8" s="45"/>
      <c r="D8" s="45"/>
      <c r="E8" s="46"/>
      <c r="F8" s="47" t="s">
        <v>71</v>
      </c>
      <c r="G8" s="48"/>
      <c r="H8" s="42"/>
      <c r="I8" s="42"/>
      <c r="J8" s="32"/>
      <c r="K8" s="42"/>
      <c r="L8" s="42"/>
      <c r="M8" s="42"/>
      <c r="N8" s="43"/>
    </row>
    <row r="9" spans="1:14" ht="14.25" thickTop="1">
      <c r="A9" s="49" t="s">
        <v>72</v>
      </c>
      <c r="B9" s="50"/>
      <c r="C9" s="51"/>
      <c r="D9" s="52">
        <v>15000</v>
      </c>
      <c r="E9" s="53" t="s">
        <v>73</v>
      </c>
      <c r="F9" s="54">
        <f>ROUND(+D9*(1+D10/100)^D24,-2)</f>
        <v>15000</v>
      </c>
      <c r="G9" s="30"/>
      <c r="H9" s="42"/>
      <c r="I9" s="42"/>
      <c r="J9" s="32"/>
      <c r="K9" s="42"/>
      <c r="L9" s="42"/>
      <c r="M9" s="42"/>
      <c r="N9" s="43"/>
    </row>
    <row r="10" spans="1:14" ht="13.5">
      <c r="A10" s="49" t="s">
        <v>74</v>
      </c>
      <c r="B10" s="50"/>
      <c r="C10" s="51"/>
      <c r="D10" s="55">
        <v>0</v>
      </c>
      <c r="E10" s="53" t="s">
        <v>75</v>
      </c>
      <c r="F10" s="32"/>
      <c r="G10" s="30"/>
      <c r="H10" s="42"/>
      <c r="I10" s="42"/>
      <c r="J10" s="32"/>
      <c r="K10" s="42"/>
      <c r="L10" s="42"/>
      <c r="M10" s="42"/>
      <c r="N10" s="43"/>
    </row>
    <row r="11" spans="1:14" ht="13.5">
      <c r="A11" s="49" t="s">
        <v>76</v>
      </c>
      <c r="B11" s="50"/>
      <c r="C11" s="51"/>
      <c r="D11" s="56">
        <v>40</v>
      </c>
      <c r="E11" s="53" t="s">
        <v>77</v>
      </c>
      <c r="F11" s="57"/>
      <c r="G11" s="30"/>
      <c r="H11" s="42"/>
      <c r="I11" s="42"/>
      <c r="J11" s="32"/>
      <c r="K11" s="42"/>
      <c r="L11" s="42"/>
      <c r="M11" s="42"/>
      <c r="N11" s="43"/>
    </row>
    <row r="12" spans="1:14" ht="13.5">
      <c r="A12" s="58" t="s">
        <v>78</v>
      </c>
      <c r="B12" s="50"/>
      <c r="C12" s="51"/>
      <c r="D12" s="56">
        <v>0</v>
      </c>
      <c r="E12" s="53" t="s">
        <v>75</v>
      </c>
      <c r="F12" s="59"/>
      <c r="G12" s="30"/>
      <c r="H12" s="42"/>
      <c r="I12" s="42"/>
      <c r="J12" s="32"/>
      <c r="K12" s="42"/>
      <c r="L12" s="42"/>
      <c r="M12" s="42"/>
      <c r="N12" s="43"/>
    </row>
    <row r="13" spans="1:14" ht="13.5">
      <c r="A13" s="60" t="s">
        <v>79</v>
      </c>
      <c r="B13" s="50"/>
      <c r="C13" s="51"/>
      <c r="D13" s="56">
        <v>0</v>
      </c>
      <c r="E13" s="53" t="s">
        <v>80</v>
      </c>
      <c r="F13" s="59"/>
      <c r="G13" s="30"/>
      <c r="H13" s="42"/>
      <c r="I13" s="42"/>
      <c r="J13" s="42"/>
      <c r="K13" s="42"/>
      <c r="L13" s="42"/>
      <c r="M13" s="42"/>
      <c r="N13" s="43"/>
    </row>
    <row r="14" spans="1:14" ht="13.5">
      <c r="A14" s="49" t="s">
        <v>81</v>
      </c>
      <c r="B14" s="50"/>
      <c r="C14" s="51"/>
      <c r="D14" s="56">
        <v>1</v>
      </c>
      <c r="E14" s="53" t="s">
        <v>82</v>
      </c>
      <c r="F14" s="59"/>
      <c r="G14" s="30"/>
      <c r="H14" s="42"/>
      <c r="I14" s="42"/>
      <c r="J14" s="42"/>
      <c r="K14" s="42"/>
      <c r="L14" s="42"/>
      <c r="M14" s="42"/>
      <c r="N14" s="43"/>
    </row>
    <row r="15" spans="1:14" ht="13.5">
      <c r="A15" s="49" t="s">
        <v>83</v>
      </c>
      <c r="B15" s="50"/>
      <c r="C15" s="51"/>
      <c r="D15" s="56">
        <v>12</v>
      </c>
      <c r="E15" s="53" t="s">
        <v>84</v>
      </c>
      <c r="F15" s="42"/>
      <c r="G15" s="42"/>
      <c r="H15" s="42"/>
      <c r="I15" s="42"/>
      <c r="J15" s="42"/>
      <c r="K15" s="42"/>
      <c r="L15" s="42"/>
      <c r="M15" s="42"/>
      <c r="N15" s="43"/>
    </row>
    <row r="16" spans="1:14" ht="13.5">
      <c r="A16" s="49" t="s">
        <v>85</v>
      </c>
      <c r="B16" s="50"/>
      <c r="C16" s="51"/>
      <c r="D16" s="56">
        <v>12</v>
      </c>
      <c r="E16" s="53" t="s">
        <v>84</v>
      </c>
      <c r="F16" s="59"/>
      <c r="G16" s="34"/>
      <c r="H16" s="42"/>
      <c r="I16" s="42"/>
      <c r="J16" s="42"/>
      <c r="K16" s="42"/>
      <c r="L16" s="42"/>
      <c r="M16" s="42"/>
      <c r="N16" s="43"/>
    </row>
    <row r="17" spans="1:14" ht="13.5">
      <c r="A17" s="49" t="s">
        <v>86</v>
      </c>
      <c r="B17" s="50"/>
      <c r="C17" s="51"/>
      <c r="D17" s="61" t="s">
        <v>87</v>
      </c>
      <c r="E17" s="53" t="s">
        <v>88</v>
      </c>
      <c r="F17" s="59"/>
      <c r="G17" s="34"/>
      <c r="H17" s="42"/>
      <c r="I17" s="42"/>
      <c r="J17" s="42"/>
      <c r="K17" s="42"/>
      <c r="L17" s="42"/>
      <c r="M17" s="42"/>
      <c r="N17" s="43"/>
    </row>
    <row r="18" spans="1:14" ht="13.5">
      <c r="A18" s="49" t="s">
        <v>89</v>
      </c>
      <c r="B18" s="50"/>
      <c r="C18" s="51"/>
      <c r="D18" s="61" t="s">
        <v>90</v>
      </c>
      <c r="E18" s="53" t="s">
        <v>91</v>
      </c>
      <c r="F18" s="59"/>
      <c r="G18" s="34"/>
      <c r="H18" s="42"/>
      <c r="I18" s="42"/>
      <c r="J18" s="42"/>
      <c r="K18" s="42"/>
      <c r="L18" s="42"/>
      <c r="M18" s="42"/>
      <c r="N18" s="43"/>
    </row>
    <row r="19" spans="1:14" ht="13.5">
      <c r="A19" s="49" t="s">
        <v>92</v>
      </c>
      <c r="B19" s="50"/>
      <c r="C19" s="50"/>
      <c r="D19" s="62">
        <v>1</v>
      </c>
      <c r="E19" s="63"/>
      <c r="F19" s="59"/>
      <c r="G19" s="34"/>
      <c r="H19" s="42"/>
      <c r="I19" s="42"/>
      <c r="J19" s="42"/>
      <c r="K19" s="42"/>
      <c r="L19" s="42"/>
      <c r="M19" s="42"/>
      <c r="N19" s="43"/>
    </row>
    <row r="20" spans="1:14" ht="14.25" thickBot="1">
      <c r="A20" s="64" t="s">
        <v>93</v>
      </c>
      <c r="B20" s="65"/>
      <c r="C20" s="65"/>
      <c r="D20" s="66">
        <v>1</v>
      </c>
      <c r="E20" s="67"/>
      <c r="F20" s="59"/>
      <c r="G20" s="34"/>
      <c r="H20" s="42"/>
      <c r="I20" s="42"/>
      <c r="J20" s="42"/>
      <c r="K20" s="42"/>
      <c r="L20" s="42"/>
      <c r="M20" s="42"/>
      <c r="N20" s="43"/>
    </row>
    <row r="21" spans="1:14" ht="14.25" thickBot="1">
      <c r="A21" s="68"/>
      <c r="B21" s="68"/>
      <c r="C21" s="68"/>
      <c r="D21" s="68"/>
      <c r="E21" s="68"/>
      <c r="F21" s="69"/>
      <c r="G21" s="42"/>
      <c r="H21" s="42"/>
      <c r="I21" s="42"/>
      <c r="J21" s="42"/>
      <c r="K21" s="42"/>
      <c r="L21" s="42"/>
      <c r="M21" s="42"/>
      <c r="N21" s="43"/>
    </row>
    <row r="22" spans="1:14" ht="13.5">
      <c r="A22" s="70" t="s">
        <v>94</v>
      </c>
      <c r="B22" s="71"/>
      <c r="C22" s="71"/>
      <c r="D22" s="72"/>
      <c r="E22" s="73"/>
      <c r="F22" s="74"/>
      <c r="G22" s="42"/>
      <c r="H22" s="42"/>
      <c r="I22" s="42"/>
      <c r="J22" s="42"/>
      <c r="K22" s="42"/>
      <c r="L22" s="42"/>
      <c r="M22" s="42"/>
      <c r="N22" s="43"/>
    </row>
    <row r="23" spans="1:14" ht="14.25" thickBot="1">
      <c r="A23" s="75"/>
      <c r="B23" s="76"/>
      <c r="C23" s="76"/>
      <c r="D23" s="77"/>
      <c r="E23" s="78"/>
      <c r="F23" s="42"/>
      <c r="G23" s="42"/>
      <c r="H23" s="42"/>
      <c r="I23" s="42"/>
      <c r="J23" s="42"/>
      <c r="K23" s="42"/>
      <c r="L23" s="42"/>
      <c r="M23" s="42"/>
      <c r="N23" s="43"/>
    </row>
    <row r="24" spans="1:14" ht="14.25" thickTop="1">
      <c r="A24" s="49" t="s">
        <v>95</v>
      </c>
      <c r="B24" s="50"/>
      <c r="C24" s="50"/>
      <c r="D24" s="52">
        <v>1</v>
      </c>
      <c r="E24" s="53" t="s">
        <v>96</v>
      </c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14.25" thickBot="1">
      <c r="A25" s="64" t="s">
        <v>97</v>
      </c>
      <c r="B25" s="79"/>
      <c r="C25" s="79"/>
      <c r="D25" s="80">
        <v>3</v>
      </c>
      <c r="E25" s="81" t="s">
        <v>75</v>
      </c>
      <c r="F25" s="74"/>
      <c r="G25" s="42"/>
      <c r="H25" s="42"/>
      <c r="I25" s="42"/>
      <c r="J25" s="42"/>
      <c r="K25" s="42"/>
      <c r="L25" s="42"/>
      <c r="M25" s="42"/>
      <c r="N25" s="43"/>
    </row>
    <row r="26" spans="1:14" ht="14.25" thickBot="1">
      <c r="A26" s="74"/>
      <c r="B26" s="74"/>
      <c r="C26" s="74"/>
      <c r="D26" s="68"/>
      <c r="E26" s="82"/>
      <c r="F26" s="74"/>
      <c r="G26" s="42"/>
      <c r="H26" s="42"/>
      <c r="I26" s="42"/>
      <c r="J26" s="42"/>
      <c r="K26" s="42"/>
      <c r="L26" s="42"/>
      <c r="M26" s="42"/>
      <c r="N26" s="43"/>
    </row>
    <row r="27" spans="1:14" ht="13.5">
      <c r="A27" s="70" t="s">
        <v>98</v>
      </c>
      <c r="B27" s="71"/>
      <c r="C27" s="71"/>
      <c r="D27" s="71"/>
      <c r="E27" s="71"/>
      <c r="F27" s="83"/>
      <c r="G27" s="83"/>
      <c r="H27" s="84"/>
      <c r="I27" s="85"/>
      <c r="J27" s="86"/>
      <c r="K27" s="87"/>
      <c r="L27" s="88"/>
      <c r="M27" s="42"/>
      <c r="N27" s="43"/>
    </row>
    <row r="28" spans="1:14" ht="14.25" thickBot="1">
      <c r="A28" s="75"/>
      <c r="B28" s="76"/>
      <c r="C28" s="76"/>
      <c r="D28" s="76"/>
      <c r="E28" s="76"/>
      <c r="F28" s="89"/>
      <c r="G28" s="89"/>
      <c r="H28" s="90"/>
      <c r="I28" s="91"/>
      <c r="J28" s="74"/>
      <c r="K28" s="92"/>
      <c r="L28" s="93"/>
      <c r="M28" s="42"/>
      <c r="N28" s="43"/>
    </row>
    <row r="29" spans="1:14" ht="27.75" thickBot="1">
      <c r="A29" s="49"/>
      <c r="B29" s="50"/>
      <c r="C29" s="50"/>
      <c r="D29" s="333" t="s">
        <v>39</v>
      </c>
      <c r="E29" s="334" t="s">
        <v>229</v>
      </c>
      <c r="F29" s="334" t="s">
        <v>228</v>
      </c>
      <c r="G29" s="334" t="s">
        <v>102</v>
      </c>
      <c r="H29" s="335" t="s">
        <v>103</v>
      </c>
      <c r="I29" s="91"/>
      <c r="J29" s="74"/>
      <c r="K29" s="92"/>
      <c r="L29" s="93"/>
      <c r="M29" s="42"/>
      <c r="N29" s="43"/>
    </row>
    <row r="30" spans="1:14" ht="13.5">
      <c r="A30" s="49" t="s">
        <v>104</v>
      </c>
      <c r="B30" s="50"/>
      <c r="C30" s="50"/>
      <c r="D30" s="322" t="s">
        <v>105</v>
      </c>
      <c r="E30" s="323" t="s">
        <v>105</v>
      </c>
      <c r="F30" s="323" t="s">
        <v>105</v>
      </c>
      <c r="G30" s="323" t="s">
        <v>105</v>
      </c>
      <c r="H30" s="324" t="s">
        <v>105</v>
      </c>
      <c r="I30" s="91"/>
      <c r="J30" s="74"/>
      <c r="K30" s="92"/>
      <c r="L30" s="93"/>
      <c r="M30" s="42"/>
      <c r="N30" s="43"/>
    </row>
    <row r="31" spans="1:14" ht="13.5">
      <c r="A31" s="49" t="s">
        <v>106</v>
      </c>
      <c r="B31" s="50"/>
      <c r="C31" s="50"/>
      <c r="D31" s="94">
        <v>0</v>
      </c>
      <c r="E31" s="95">
        <v>0</v>
      </c>
      <c r="F31" s="95">
        <v>0</v>
      </c>
      <c r="G31" s="95">
        <v>0</v>
      </c>
      <c r="H31" s="96">
        <v>0</v>
      </c>
      <c r="I31" s="91"/>
      <c r="J31" s="74"/>
      <c r="K31" s="92"/>
      <c r="L31" s="93"/>
      <c r="M31" s="42"/>
      <c r="N31" s="43"/>
    </row>
    <row r="32" spans="1:14" ht="13.5">
      <c r="A32" s="97" t="s">
        <v>107</v>
      </c>
      <c r="B32" s="98"/>
      <c r="C32" s="98"/>
      <c r="D32" s="94">
        <v>0</v>
      </c>
      <c r="E32" s="95">
        <v>0</v>
      </c>
      <c r="F32" s="95">
        <v>0</v>
      </c>
      <c r="G32" s="95">
        <v>0</v>
      </c>
      <c r="H32" s="96">
        <v>0</v>
      </c>
      <c r="I32" s="91"/>
      <c r="J32" s="74"/>
      <c r="K32" s="92"/>
      <c r="L32" s="93"/>
      <c r="M32" s="42"/>
      <c r="N32" s="43"/>
    </row>
    <row r="33" spans="1:15" ht="13.5">
      <c r="A33" s="97" t="s">
        <v>108</v>
      </c>
      <c r="B33" s="98"/>
      <c r="C33" s="98"/>
      <c r="D33" s="94">
        <v>2</v>
      </c>
      <c r="E33" s="95">
        <v>0</v>
      </c>
      <c r="F33" s="95">
        <v>0</v>
      </c>
      <c r="G33" s="95">
        <v>0</v>
      </c>
      <c r="H33" s="96">
        <v>0</v>
      </c>
      <c r="I33" s="91"/>
      <c r="J33" s="74"/>
      <c r="K33" s="92"/>
      <c r="L33" s="93"/>
      <c r="M33" s="42" t="s">
        <v>235</v>
      </c>
      <c r="N33" s="351">
        <f>Width/3.28</f>
        <v>0.6097560975609756</v>
      </c>
      <c r="O33" t="s">
        <v>234</v>
      </c>
    </row>
    <row r="34" spans="1:15" ht="14.25" thickBot="1">
      <c r="A34" s="97" t="s">
        <v>109</v>
      </c>
      <c r="B34" s="98"/>
      <c r="C34" s="98"/>
      <c r="D34" s="99">
        <v>1000</v>
      </c>
      <c r="E34" s="100">
        <v>0</v>
      </c>
      <c r="F34" s="100">
        <v>0</v>
      </c>
      <c r="G34" s="100">
        <v>0</v>
      </c>
      <c r="H34" s="101">
        <v>0</v>
      </c>
      <c r="I34" s="91"/>
      <c r="J34" s="74"/>
      <c r="K34" s="92"/>
      <c r="L34" s="93"/>
      <c r="M34" s="42" t="s">
        <v>236</v>
      </c>
      <c r="N34" s="351" t="e">
        <f>Width/SlopeRate/3.28</f>
        <v>#DIV/0!</v>
      </c>
      <c r="O34" t="s">
        <v>234</v>
      </c>
    </row>
    <row r="35" spans="1:14" ht="14.25" thickTop="1">
      <c r="A35" s="102" t="s">
        <v>110</v>
      </c>
      <c r="B35" s="103"/>
      <c r="C35" s="103"/>
      <c r="D35" s="104">
        <f>+$D$32</f>
        <v>0</v>
      </c>
      <c r="E35" s="104">
        <f>'roadside-macro'!SlopeFactors(SlopeType,SlopeRate,EffOffsetA,Width,Width_B,OffsetB)</f>
        <v>0</v>
      </c>
      <c r="F35" s="104">
        <f>'roadside-macro'!SlopeFactors(SlopeTypeB,SlopeRateB,EffOffsetB,Width_B,Width_C,OffsetC)</f>
        <v>0</v>
      </c>
      <c r="G35" s="104">
        <f>'roadside-macro'!SlopeFactors(SlopeTypeC,SlopeRateC,EffOffsetC,Width_C,Width_D,OffsetD)</f>
        <v>0</v>
      </c>
      <c r="H35" s="105">
        <f>'roadside-macro'!SlopeFactors(SlopeTypeD,SlopeRateD,EffOffsetD,Width_D,Width_E,OffsetE)</f>
        <v>0</v>
      </c>
      <c r="I35" s="91"/>
      <c r="J35" s="74"/>
      <c r="K35" s="92"/>
      <c r="L35" s="93"/>
      <c r="M35" s="42"/>
      <c r="N35" s="43"/>
    </row>
    <row r="36" spans="1:14" ht="13.5">
      <c r="A36" s="106"/>
      <c r="B36" s="107"/>
      <c r="C36" s="107"/>
      <c r="D36" s="108"/>
      <c r="E36" s="108"/>
      <c r="F36" s="108"/>
      <c r="G36" s="108"/>
      <c r="H36" s="109"/>
      <c r="I36" s="91"/>
      <c r="J36" s="74"/>
      <c r="K36" s="92"/>
      <c r="L36" s="93"/>
      <c r="M36" s="42"/>
      <c r="N36" s="43"/>
    </row>
    <row r="37" spans="1:14" ht="27">
      <c r="A37" s="378" t="s">
        <v>111</v>
      </c>
      <c r="B37" s="379"/>
      <c r="C37" s="380"/>
      <c r="D37" s="110" t="str">
        <f>D29</f>
        <v>Fill</v>
      </c>
      <c r="E37" s="110" t="str">
        <f>E29</f>
        <v>Culvert</v>
      </c>
      <c r="F37" s="110" t="str">
        <f>F29</f>
        <v>Water</v>
      </c>
      <c r="G37" s="110" t="str">
        <f>G29</f>
        <v>Slope D or Obstacle</v>
      </c>
      <c r="H37" s="111" t="str">
        <f>H29</f>
        <v>Slope E or Obstacle</v>
      </c>
      <c r="I37" s="91"/>
      <c r="J37" s="74"/>
      <c r="K37" s="92"/>
      <c r="L37" s="93"/>
      <c r="M37" s="42"/>
      <c r="N37" s="43"/>
    </row>
    <row r="38" spans="1:14" ht="14.25" thickBot="1">
      <c r="A38" s="381"/>
      <c r="B38" s="382"/>
      <c r="C38" s="383"/>
      <c r="D38" s="112"/>
      <c r="E38" s="112"/>
      <c r="F38" s="112"/>
      <c r="G38" s="112"/>
      <c r="H38" s="113"/>
      <c r="I38" s="91"/>
      <c r="J38" s="74"/>
      <c r="K38" s="92"/>
      <c r="L38" s="93"/>
      <c r="M38" s="42"/>
      <c r="N38" s="43"/>
    </row>
    <row r="39" spans="1:14" ht="14.25" thickTop="1">
      <c r="A39" s="49" t="s">
        <v>112</v>
      </c>
      <c r="B39" s="50"/>
      <c r="C39" s="50"/>
      <c r="D39" s="114">
        <v>4.3</v>
      </c>
      <c r="E39" s="115">
        <v>0</v>
      </c>
      <c r="F39" s="115">
        <v>0</v>
      </c>
      <c r="G39" s="115">
        <v>0</v>
      </c>
      <c r="H39" s="116">
        <v>0</v>
      </c>
      <c r="I39" s="91"/>
      <c r="J39" s="74"/>
      <c r="K39" s="92"/>
      <c r="L39" s="93"/>
      <c r="M39" s="42"/>
      <c r="N39" s="43"/>
    </row>
    <row r="40" spans="1:14" ht="13.5">
      <c r="A40" s="49" t="s">
        <v>113</v>
      </c>
      <c r="B40" s="50"/>
      <c r="C40" s="50"/>
      <c r="D40" s="94">
        <v>4.3</v>
      </c>
      <c r="E40" s="95">
        <v>0</v>
      </c>
      <c r="F40" s="95">
        <v>0</v>
      </c>
      <c r="G40" s="95">
        <v>0</v>
      </c>
      <c r="H40" s="96">
        <v>0</v>
      </c>
      <c r="I40" s="91"/>
      <c r="J40" s="74"/>
      <c r="K40" s="92"/>
      <c r="L40" s="93"/>
      <c r="M40" s="42"/>
      <c r="N40" s="43"/>
    </row>
    <row r="41" spans="1:14" ht="13.5">
      <c r="A41" s="49" t="s">
        <v>114</v>
      </c>
      <c r="B41" s="50"/>
      <c r="C41" s="50"/>
      <c r="D41" s="94">
        <v>2</v>
      </c>
      <c r="E41" s="95">
        <v>0</v>
      </c>
      <c r="F41" s="95">
        <v>0</v>
      </c>
      <c r="G41" s="95">
        <v>0</v>
      </c>
      <c r="H41" s="96">
        <v>0</v>
      </c>
      <c r="I41" s="91"/>
      <c r="J41" s="74"/>
      <c r="K41" s="92"/>
      <c r="L41" s="93"/>
      <c r="M41" s="42"/>
      <c r="N41" s="43"/>
    </row>
    <row r="42" spans="1:14" ht="13.5">
      <c r="A42" s="49" t="s">
        <v>115</v>
      </c>
      <c r="B42" s="50"/>
      <c r="C42" s="50"/>
      <c r="D42" s="94">
        <v>4.3</v>
      </c>
      <c r="E42" s="95">
        <v>0</v>
      </c>
      <c r="F42" s="95">
        <v>0</v>
      </c>
      <c r="G42" s="95">
        <v>0</v>
      </c>
      <c r="H42" s="96">
        <v>0</v>
      </c>
      <c r="I42" s="91"/>
      <c r="J42" s="74"/>
      <c r="K42" s="92"/>
      <c r="L42" s="93"/>
      <c r="M42" s="42"/>
      <c r="N42" s="43"/>
    </row>
    <row r="43" spans="1:14" ht="14.25" thickBot="1">
      <c r="A43" s="64" t="s">
        <v>116</v>
      </c>
      <c r="B43" s="79"/>
      <c r="C43" s="79"/>
      <c r="D43" s="99">
        <v>4.3</v>
      </c>
      <c r="E43" s="100">
        <v>0</v>
      </c>
      <c r="F43" s="100">
        <v>0</v>
      </c>
      <c r="G43" s="100">
        <v>0</v>
      </c>
      <c r="H43" s="101">
        <v>0</v>
      </c>
      <c r="I43" s="117"/>
      <c r="J43" s="118"/>
      <c r="K43" s="119"/>
      <c r="L43" s="120"/>
      <c r="M43" s="42"/>
      <c r="N43" s="43"/>
    </row>
    <row r="44" spans="1:14" ht="14.25" thickBot="1">
      <c r="A44" s="74"/>
      <c r="B44" s="74"/>
      <c r="C44" s="74"/>
      <c r="D44" s="74"/>
      <c r="E44" s="74"/>
      <c r="F44" s="74"/>
      <c r="G44" s="74"/>
      <c r="H44" s="74"/>
      <c r="I44" s="121"/>
      <c r="J44" s="74"/>
      <c r="K44" s="74"/>
      <c r="L44" s="121"/>
      <c r="M44" s="42"/>
      <c r="N44" s="43"/>
    </row>
    <row r="45" spans="1:14" ht="13.5">
      <c r="A45" s="70" t="s">
        <v>117</v>
      </c>
      <c r="B45" s="71"/>
      <c r="C45" s="71"/>
      <c r="D45" s="72"/>
      <c r="E45" s="72"/>
      <c r="F45" s="72"/>
      <c r="G45" s="72"/>
      <c r="H45" s="72"/>
      <c r="I45" s="72"/>
      <c r="J45" s="72"/>
      <c r="K45" s="72"/>
      <c r="L45" s="73"/>
      <c r="M45" s="42"/>
      <c r="N45" s="43"/>
    </row>
    <row r="46" spans="1:14" ht="14.25" thickBot="1">
      <c r="A46" s="75"/>
      <c r="B46" s="76"/>
      <c r="C46" s="76"/>
      <c r="D46" s="77"/>
      <c r="E46" s="77"/>
      <c r="F46" s="77"/>
      <c r="G46" s="77"/>
      <c r="H46" s="77"/>
      <c r="I46" s="77"/>
      <c r="J46" s="77"/>
      <c r="K46" s="77"/>
      <c r="L46" s="78"/>
      <c r="M46" s="42"/>
      <c r="N46" s="43"/>
    </row>
    <row r="47" spans="1:14" ht="27">
      <c r="A47" s="49"/>
      <c r="B47" s="122"/>
      <c r="C47" s="123"/>
      <c r="D47" s="124" t="s">
        <v>99</v>
      </c>
      <c r="E47" s="124" t="s">
        <v>100</v>
      </c>
      <c r="F47" s="124" t="s">
        <v>101</v>
      </c>
      <c r="G47" s="124" t="s">
        <v>102</v>
      </c>
      <c r="H47" s="124" t="s">
        <v>103</v>
      </c>
      <c r="I47" s="125" t="s">
        <v>118</v>
      </c>
      <c r="J47" s="126"/>
      <c r="K47" s="126"/>
      <c r="L47" s="127"/>
      <c r="M47" s="42"/>
      <c r="N47" s="43"/>
    </row>
    <row r="48" spans="1:14" ht="13.5">
      <c r="A48" s="49" t="s">
        <v>119</v>
      </c>
      <c r="B48" s="50"/>
      <c r="C48" s="50"/>
      <c r="D48" s="128">
        <f>+B114+H114</f>
        <v>0.9001207212804969</v>
      </c>
      <c r="E48" s="128">
        <f>+C114+I114</f>
        <v>0</v>
      </c>
      <c r="F48" s="128">
        <f>+D114+J114</f>
        <v>0</v>
      </c>
      <c r="G48" s="128">
        <f>+E114+K114</f>
        <v>0</v>
      </c>
      <c r="H48" s="128">
        <f>+F114+L114</f>
        <v>0</v>
      </c>
      <c r="I48" s="129">
        <f>IF(H4:H48&gt;0,H48,IF(G48&gt;0,G48,IF(F48&gt;0,F48,IF(E48&gt;0,E48,D48))))</f>
        <v>0.9001207212804969</v>
      </c>
      <c r="J48" s="122" t="s">
        <v>120</v>
      </c>
      <c r="K48" s="122"/>
      <c r="L48" s="130"/>
      <c r="M48" s="42"/>
      <c r="N48" s="43"/>
    </row>
    <row r="49" spans="1:14" ht="14.25" thickBot="1">
      <c r="A49" s="64" t="s">
        <v>121</v>
      </c>
      <c r="B49" s="79"/>
      <c r="C49" s="79"/>
      <c r="D49" s="131">
        <f>+D48*$D$77*($F$9/$D$9)</f>
        <v>0.8739002046695961</v>
      </c>
      <c r="E49" s="131">
        <f>+E48*$D$77*($F$9/$D$9)</f>
        <v>0</v>
      </c>
      <c r="F49" s="131">
        <f>+F48*$D$77*($F$9/$D$9)</f>
        <v>0</v>
      </c>
      <c r="G49" s="131">
        <f>+G48*$D$77*($F$9/$D$9)</f>
        <v>0</v>
      </c>
      <c r="H49" s="131">
        <f>+H48*$D$77*($F$9/$D$9)</f>
        <v>0</v>
      </c>
      <c r="I49" s="132">
        <f>IF(H4:H49&gt;0,H49,IF(G49&gt;0,G49,IF(F49&gt;0,F49,IF(E49&gt;0,E49,D49))))</f>
        <v>0.8739002046695961</v>
      </c>
      <c r="J49" s="133" t="s">
        <v>122</v>
      </c>
      <c r="K49" s="79"/>
      <c r="L49" s="134"/>
      <c r="M49" s="42"/>
      <c r="N49" s="43"/>
    </row>
    <row r="50" spans="1:14" ht="15" thickBot="1">
      <c r="A50" s="42"/>
      <c r="B50" s="42"/>
      <c r="C50" s="42"/>
      <c r="D50" s="42"/>
      <c r="E50" s="42"/>
      <c r="F50" s="42"/>
      <c r="G50" s="42"/>
      <c r="H50" s="121"/>
      <c r="I50" s="348">
        <f>I48*K66</f>
        <v>0.9001207212804969</v>
      </c>
      <c r="J50" s="349" t="s">
        <v>237</v>
      </c>
      <c r="K50" s="349"/>
      <c r="L50" s="350"/>
      <c r="M50" s="42" t="s">
        <v>123</v>
      </c>
      <c r="N50" s="43"/>
    </row>
    <row r="51" spans="1:14" ht="13.5">
      <c r="A51" s="70" t="s">
        <v>124</v>
      </c>
      <c r="B51" s="71"/>
      <c r="C51" s="71"/>
      <c r="D51" s="72"/>
      <c r="E51" s="73"/>
      <c r="F51" s="74"/>
      <c r="G51" s="70" t="s">
        <v>125</v>
      </c>
      <c r="H51" s="72"/>
      <c r="I51" s="72"/>
      <c r="J51" s="72"/>
      <c r="K51" s="72"/>
      <c r="L51" s="73"/>
      <c r="M51" s="42"/>
      <c r="N51" s="43"/>
    </row>
    <row r="52" spans="1:14" ht="14.25" thickBot="1">
      <c r="A52" s="75"/>
      <c r="B52" s="76"/>
      <c r="C52" s="76"/>
      <c r="D52" s="77"/>
      <c r="E52" s="78"/>
      <c r="F52" s="135"/>
      <c r="G52" s="75"/>
      <c r="H52" s="77"/>
      <c r="I52" s="77"/>
      <c r="J52" s="77"/>
      <c r="K52" s="77"/>
      <c r="L52" s="78"/>
      <c r="M52" s="42"/>
      <c r="N52" s="43"/>
    </row>
    <row r="53" spans="1:14" ht="14.25" thickBot="1">
      <c r="A53" s="136" t="s">
        <v>126</v>
      </c>
      <c r="B53" s="137"/>
      <c r="C53" s="137"/>
      <c r="D53" s="138"/>
      <c r="E53" s="139"/>
      <c r="F53" s="42"/>
      <c r="G53" s="49"/>
      <c r="H53" s="50"/>
      <c r="I53" s="50"/>
      <c r="J53" s="140" t="s">
        <v>127</v>
      </c>
      <c r="K53" s="50"/>
      <c r="L53" s="141" t="s">
        <v>128</v>
      </c>
      <c r="M53" s="42"/>
      <c r="N53" s="43"/>
    </row>
    <row r="54" spans="1:14" ht="14.25" thickTop="1">
      <c r="A54" s="49" t="s">
        <v>129</v>
      </c>
      <c r="B54" s="50"/>
      <c r="C54" s="50"/>
      <c r="D54" s="51"/>
      <c r="E54" s="142">
        <v>0</v>
      </c>
      <c r="F54" s="143"/>
      <c r="G54" s="144"/>
      <c r="H54" s="50"/>
      <c r="I54" s="50"/>
      <c r="J54" s="145" t="s">
        <v>130</v>
      </c>
      <c r="K54" s="50"/>
      <c r="L54" s="146" t="s">
        <v>131</v>
      </c>
      <c r="M54" s="42"/>
      <c r="N54" s="43"/>
    </row>
    <row r="55" spans="1:14" ht="13.5">
      <c r="A55" s="49" t="s">
        <v>132</v>
      </c>
      <c r="B55" s="50"/>
      <c r="C55" s="50"/>
      <c r="D55" s="51"/>
      <c r="E55" s="147">
        <v>0</v>
      </c>
      <c r="F55" s="143"/>
      <c r="G55" s="58" t="s">
        <v>133</v>
      </c>
      <c r="H55" s="50"/>
      <c r="I55" s="50"/>
      <c r="J55" s="148">
        <f>+E58</f>
        <v>8000</v>
      </c>
      <c r="K55" s="50"/>
      <c r="L55" s="149">
        <f>+J55*CRF</f>
        <v>8240</v>
      </c>
      <c r="M55" s="42"/>
      <c r="N55" s="43"/>
    </row>
    <row r="56" spans="1:14" ht="13.5">
      <c r="A56" s="49" t="s">
        <v>134</v>
      </c>
      <c r="B56" s="50"/>
      <c r="C56" s="50"/>
      <c r="D56" s="51"/>
      <c r="E56" s="147">
        <v>0</v>
      </c>
      <c r="F56" s="143"/>
      <c r="G56" s="58" t="s">
        <v>135</v>
      </c>
      <c r="H56" s="50"/>
      <c r="I56" s="50"/>
      <c r="J56" s="148">
        <f>+E60/CRF</f>
        <v>0</v>
      </c>
      <c r="K56" s="50"/>
      <c r="L56" s="149">
        <f>+J56*CRF</f>
        <v>0</v>
      </c>
      <c r="M56" s="42"/>
      <c r="N56" s="43"/>
    </row>
    <row r="57" spans="1:14" ht="14.25" thickBot="1">
      <c r="A57" s="49" t="s">
        <v>136</v>
      </c>
      <c r="B57" s="50"/>
      <c r="C57" s="50"/>
      <c r="D57" s="51"/>
      <c r="E57" s="150">
        <v>8000</v>
      </c>
      <c r="F57" s="143"/>
      <c r="G57" s="58" t="s">
        <v>137</v>
      </c>
      <c r="H57" s="50"/>
      <c r="I57" s="50"/>
      <c r="J57" s="148">
        <f>+E61*SPCAF</f>
        <v>0</v>
      </c>
      <c r="K57" s="50"/>
      <c r="L57" s="149">
        <f>+J57*CRF</f>
        <v>0</v>
      </c>
      <c r="M57" s="42"/>
      <c r="N57" s="43"/>
    </row>
    <row r="58" spans="1:14" ht="14.25" thickTop="1">
      <c r="A58" s="151" t="s">
        <v>138</v>
      </c>
      <c r="B58" s="152"/>
      <c r="C58" s="152"/>
      <c r="D58" s="153"/>
      <c r="E58" s="154">
        <f>SUM(E54:E57)</f>
        <v>8000</v>
      </c>
      <c r="F58" s="155"/>
      <c r="G58" s="58"/>
      <c r="H58" s="50"/>
      <c r="I58" s="50"/>
      <c r="J58" s="156"/>
      <c r="K58" s="50"/>
      <c r="L58" s="149"/>
      <c r="M58" s="42"/>
      <c r="N58" s="43"/>
    </row>
    <row r="59" spans="1:14" ht="14.25" thickBot="1">
      <c r="A59" s="49"/>
      <c r="B59" s="122"/>
      <c r="C59" s="122"/>
      <c r="D59" s="157"/>
      <c r="E59" s="158"/>
      <c r="F59" s="159"/>
      <c r="G59" s="58" t="s">
        <v>139</v>
      </c>
      <c r="H59" s="50"/>
      <c r="I59" s="50"/>
      <c r="J59" s="148">
        <f>+AdjAccCost*Kc</f>
        <v>36375.793795148755</v>
      </c>
      <c r="K59" s="50"/>
      <c r="L59" s="149">
        <f>+J59*CRF</f>
        <v>37467.06760900322</v>
      </c>
      <c r="M59" s="42"/>
      <c r="N59" s="43"/>
    </row>
    <row r="60" spans="1:14" ht="14.25" thickTop="1">
      <c r="A60" s="49" t="s">
        <v>140</v>
      </c>
      <c r="B60" s="50"/>
      <c r="C60" s="50"/>
      <c r="D60" s="157"/>
      <c r="E60" s="142">
        <v>0</v>
      </c>
      <c r="F60" s="155"/>
      <c r="G60" s="58" t="s">
        <v>141</v>
      </c>
      <c r="H60" s="50"/>
      <c r="I60" s="50"/>
      <c r="J60" s="148">
        <f>OppAccCost*Kc</f>
        <v>9050.18992358095</v>
      </c>
      <c r="K60" s="50"/>
      <c r="L60" s="149">
        <f>+J60*CRF</f>
        <v>9321.69562128838</v>
      </c>
      <c r="M60" s="42"/>
      <c r="N60" s="43"/>
    </row>
    <row r="61" spans="1:14" ht="14.25" thickBot="1">
      <c r="A61" s="49" t="s">
        <v>142</v>
      </c>
      <c r="B61" s="50"/>
      <c r="C61" s="50"/>
      <c r="D61" s="157"/>
      <c r="E61" s="150">
        <v>0</v>
      </c>
      <c r="F61" s="155"/>
      <c r="G61" s="58" t="s">
        <v>143</v>
      </c>
      <c r="H61" s="50"/>
      <c r="I61" s="50"/>
      <c r="J61" s="148">
        <f>(DCUS*AdjImpacts1+DCUC*AdjImpacts2+DCF*AdjImpacts3)*Kc</f>
        <v>0</v>
      </c>
      <c r="K61" s="50"/>
      <c r="L61" s="149">
        <f>+J61*CRF</f>
        <v>0</v>
      </c>
      <c r="M61" s="42"/>
      <c r="N61" s="43"/>
    </row>
    <row r="62" spans="1:14" ht="15" thickBot="1" thickTop="1">
      <c r="A62" s="49"/>
      <c r="B62" s="50"/>
      <c r="C62" s="50"/>
      <c r="D62" s="157"/>
      <c r="E62" s="160"/>
      <c r="F62" s="155"/>
      <c r="G62" s="161" t="s">
        <v>144</v>
      </c>
      <c r="H62" s="162"/>
      <c r="I62" s="162"/>
      <c r="J62" s="163">
        <f>(DCDS*OppImpacts1+DCDC*OppImpacts2+DCF*OppImpacts3)*Kc</f>
        <v>0</v>
      </c>
      <c r="K62" s="50"/>
      <c r="L62" s="164">
        <f>+J62*CRF</f>
        <v>0</v>
      </c>
      <c r="M62" s="42"/>
      <c r="N62" s="43"/>
    </row>
    <row r="63" spans="1:14" ht="15" thickBot="1" thickTop="1">
      <c r="A63" s="49" t="s">
        <v>145</v>
      </c>
      <c r="B63" s="50"/>
      <c r="C63" s="50"/>
      <c r="D63" s="157"/>
      <c r="E63" s="165"/>
      <c r="F63" s="166"/>
      <c r="G63" s="58" t="s">
        <v>146</v>
      </c>
      <c r="H63" s="50"/>
      <c r="I63" s="50"/>
      <c r="J63" s="337"/>
      <c r="K63" s="345" t="s">
        <v>260</v>
      </c>
      <c r="L63" s="342"/>
      <c r="M63" s="42"/>
      <c r="N63" s="43"/>
    </row>
    <row r="64" spans="1:14" ht="15" thickTop="1">
      <c r="A64" s="49" t="s">
        <v>112</v>
      </c>
      <c r="B64" s="50"/>
      <c r="C64" s="50"/>
      <c r="D64" s="51"/>
      <c r="E64" s="142">
        <v>0</v>
      </c>
      <c r="F64" s="159"/>
      <c r="G64" s="58" t="s">
        <v>147</v>
      </c>
      <c r="H64" s="50"/>
      <c r="I64" s="50"/>
      <c r="J64" s="339">
        <f>+J59+J60</f>
        <v>45425.98371872971</v>
      </c>
      <c r="K64" s="346" t="s">
        <v>258</v>
      </c>
      <c r="L64" s="342">
        <f>+J64*CRF</f>
        <v>46788.7632302916</v>
      </c>
      <c r="M64" s="42"/>
      <c r="N64" s="43"/>
    </row>
    <row r="65" spans="1:14" ht="15" thickBot="1">
      <c r="A65" s="49" t="s">
        <v>113</v>
      </c>
      <c r="B65" s="50"/>
      <c r="C65" s="50"/>
      <c r="D65" s="51"/>
      <c r="E65" s="147">
        <v>0</v>
      </c>
      <c r="F65" s="159"/>
      <c r="G65" s="58" t="s">
        <v>148</v>
      </c>
      <c r="H65" s="50"/>
      <c r="I65" s="50"/>
      <c r="J65" s="339">
        <f>+J55+J56+J61+J62+J57</f>
        <v>8000</v>
      </c>
      <c r="K65" s="375" t="s">
        <v>259</v>
      </c>
      <c r="L65" s="342">
        <f>+J65*CRF</f>
        <v>8240</v>
      </c>
      <c r="M65" s="42"/>
      <c r="N65" s="43"/>
    </row>
    <row r="66" spans="1:14" ht="15" thickBot="1">
      <c r="A66" s="49" t="s">
        <v>114</v>
      </c>
      <c r="B66" s="50"/>
      <c r="C66" s="50"/>
      <c r="D66" s="51"/>
      <c r="E66" s="147">
        <v>0</v>
      </c>
      <c r="F66" s="159"/>
      <c r="G66" s="58"/>
      <c r="H66" s="50"/>
      <c r="I66" s="50"/>
      <c r="J66" s="337"/>
      <c r="K66" s="353">
        <v>1</v>
      </c>
      <c r="L66" s="338"/>
      <c r="M66" s="42"/>
      <c r="N66" s="43"/>
    </row>
    <row r="67" spans="1:14" ht="15" thickBot="1" thickTop="1">
      <c r="A67" s="49" t="s">
        <v>115</v>
      </c>
      <c r="B67" s="50"/>
      <c r="C67" s="50"/>
      <c r="D67" s="51"/>
      <c r="E67" s="147">
        <v>0</v>
      </c>
      <c r="F67" s="159"/>
      <c r="G67" s="167" t="s">
        <v>149</v>
      </c>
      <c r="H67" s="168"/>
      <c r="I67" s="168"/>
      <c r="J67" s="340" t="str">
        <f>DOLLAR(+J65+J64,-3)</f>
        <v>$53,000</v>
      </c>
      <c r="K67" s="352">
        <f>(L64*K66+L65)</f>
        <v>55028.7632302916</v>
      </c>
      <c r="L67" s="343" t="str">
        <f>DOLLAR(+L65+L64,-3)</f>
        <v>$55,000</v>
      </c>
      <c r="M67" s="42"/>
      <c r="N67" s="43"/>
    </row>
    <row r="68" spans="1:14" ht="15" thickBot="1">
      <c r="A68" s="64" t="s">
        <v>116</v>
      </c>
      <c r="B68" s="79"/>
      <c r="C68" s="79"/>
      <c r="D68" s="169"/>
      <c r="E68" s="150">
        <v>0</v>
      </c>
      <c r="F68" s="159"/>
      <c r="G68" s="170"/>
      <c r="H68" s="79"/>
      <c r="I68" s="79"/>
      <c r="J68" s="341" t="s">
        <v>150</v>
      </c>
      <c r="K68" s="347" t="s">
        <v>232</v>
      </c>
      <c r="L68" s="344" t="s">
        <v>151</v>
      </c>
      <c r="M68" s="42"/>
      <c r="N68" s="171"/>
    </row>
    <row r="69" spans="1:14" ht="13.5" thickBot="1">
      <c r="A69" s="32"/>
      <c r="B69" s="32"/>
      <c r="C69" s="32"/>
      <c r="D69" s="32"/>
      <c r="E69" s="172"/>
      <c r="F69" s="172"/>
      <c r="G69" s="173" t="s">
        <v>152</v>
      </c>
      <c r="H69" s="174"/>
      <c r="I69" s="174"/>
      <c r="J69" s="175"/>
      <c r="K69" s="27"/>
      <c r="L69" s="27"/>
      <c r="M69" s="30"/>
      <c r="N69" s="176"/>
    </row>
    <row r="70" spans="1:14" ht="13.5" thickTop="1">
      <c r="A70" s="32"/>
      <c r="B70" s="177" t="s">
        <v>66</v>
      </c>
      <c r="C70" s="178" t="str">
        <f>+B3</f>
        <v>Work Zone Test Case</v>
      </c>
      <c r="D70" s="32"/>
      <c r="E70" s="32"/>
      <c r="F70" s="32"/>
      <c r="G70" s="179"/>
      <c r="H70" s="27"/>
      <c r="I70" s="32"/>
      <c r="J70" s="32"/>
      <c r="K70" s="177" t="s">
        <v>68</v>
      </c>
      <c r="L70" s="180">
        <f>+B5</f>
        <v>43714</v>
      </c>
      <c r="M70" s="30"/>
      <c r="N70" s="176"/>
    </row>
    <row r="71" spans="1:14" ht="12.75">
      <c r="A71" s="32"/>
      <c r="B71" s="177" t="s">
        <v>67</v>
      </c>
      <c r="C71" s="178" t="str">
        <f>+B4</f>
        <v>1 yr</v>
      </c>
      <c r="D71" s="32"/>
      <c r="E71" s="32"/>
      <c r="F71" s="32"/>
      <c r="G71" s="27"/>
      <c r="H71" s="27"/>
      <c r="I71" s="27"/>
      <c r="J71" s="175"/>
      <c r="K71" s="27"/>
      <c r="L71" s="181">
        <f>+$C$5</f>
        <v>43714.475856944446</v>
      </c>
      <c r="M71" s="30"/>
      <c r="N71" s="176"/>
    </row>
    <row r="72" spans="1:14" ht="13.5" thickBot="1">
      <c r="A72" s="177"/>
      <c r="B72" s="180"/>
      <c r="C72" s="32"/>
      <c r="D72" s="32"/>
      <c r="E72" s="32"/>
      <c r="F72" s="32"/>
      <c r="G72" s="27"/>
      <c r="H72" s="182"/>
      <c r="I72" s="182"/>
      <c r="J72" s="183"/>
      <c r="K72" s="182"/>
      <c r="L72" s="182"/>
      <c r="M72" s="30"/>
      <c r="N72" s="176"/>
    </row>
    <row r="73" spans="1:19" ht="21" thickBot="1">
      <c r="A73" s="184" t="s">
        <v>153</v>
      </c>
      <c r="B73" s="185"/>
      <c r="C73" s="185"/>
      <c r="D73" s="186"/>
      <c r="E73" s="187"/>
      <c r="G73" s="184" t="s">
        <v>154</v>
      </c>
      <c r="H73" s="188"/>
      <c r="I73" s="189" t="s">
        <v>155</v>
      </c>
      <c r="J73" s="190" t="s">
        <v>156</v>
      </c>
      <c r="K73" s="190" t="s">
        <v>157</v>
      </c>
      <c r="L73" s="191" t="s">
        <v>230</v>
      </c>
      <c r="M73" s="331" t="s">
        <v>225</v>
      </c>
      <c r="N73" s="192"/>
      <c r="O73" s="30"/>
      <c r="P73" s="3"/>
      <c r="Q73" s="19"/>
      <c r="R73" s="3"/>
      <c r="S73" s="3"/>
    </row>
    <row r="74" spans="1:19" ht="12.75">
      <c r="A74" s="193" t="s">
        <v>158</v>
      </c>
      <c r="B74" s="194"/>
      <c r="C74" s="194"/>
      <c r="D74" s="195" t="str">
        <f>FIXED(((1+i/100)^n*i/100)/((1+i/100)^n-1),5)</f>
        <v>1.03000</v>
      </c>
      <c r="E74" s="196" t="s">
        <v>159</v>
      </c>
      <c r="G74" s="193" t="s">
        <v>160</v>
      </c>
      <c r="H74" s="197"/>
      <c r="I74" s="198" t="s">
        <v>161</v>
      </c>
      <c r="J74" s="199">
        <v>0</v>
      </c>
      <c r="K74" s="200">
        <f>+Q74</f>
        <v>0</v>
      </c>
      <c r="L74" s="201">
        <v>11600000</v>
      </c>
      <c r="M74" s="26"/>
      <c r="N74" s="192"/>
      <c r="O74" s="202"/>
      <c r="P74" s="203"/>
      <c r="Q74" s="204"/>
      <c r="R74" s="3"/>
      <c r="S74" s="3"/>
    </row>
    <row r="75" spans="1:19" ht="12.75">
      <c r="A75" s="193" t="s">
        <v>162</v>
      </c>
      <c r="B75" s="194"/>
      <c r="C75" s="194"/>
      <c r="D75" s="195" t="str">
        <f>FIXED(i/100/((1+i/100)^n-1),5)</f>
        <v>1.00000</v>
      </c>
      <c r="E75" s="196" t="s">
        <v>163</v>
      </c>
      <c r="G75" s="193" t="s">
        <v>164</v>
      </c>
      <c r="H75" s="197"/>
      <c r="I75" s="198" t="s">
        <v>165</v>
      </c>
      <c r="J75" s="199">
        <v>0</v>
      </c>
      <c r="K75" s="205"/>
      <c r="L75" s="201">
        <v>800000</v>
      </c>
      <c r="M75" s="26"/>
      <c r="N75" s="192"/>
      <c r="O75" s="206"/>
      <c r="P75" s="3"/>
      <c r="Q75" s="3"/>
      <c r="R75" s="3"/>
      <c r="S75" s="3"/>
    </row>
    <row r="76" spans="1:16" ht="12.75">
      <c r="A76" s="193" t="s">
        <v>166</v>
      </c>
      <c r="B76" s="194"/>
      <c r="C76" s="194"/>
      <c r="D76" s="195" t="str">
        <f>FIXED(+(1+i/100)^n,5)</f>
        <v>1.03000</v>
      </c>
      <c r="E76" s="196" t="s">
        <v>167</v>
      </c>
      <c r="G76" s="193" t="s">
        <v>168</v>
      </c>
      <c r="H76" s="197"/>
      <c r="I76" s="198" t="s">
        <v>169</v>
      </c>
      <c r="J76" s="199">
        <v>0</v>
      </c>
      <c r="K76" s="205"/>
      <c r="L76" s="201">
        <v>160000</v>
      </c>
      <c r="M76" s="26"/>
      <c r="N76" s="26"/>
      <c r="O76" s="30"/>
      <c r="P76" s="176"/>
    </row>
    <row r="77" spans="1:16" ht="13.5" thickBot="1">
      <c r="A77" s="207" t="s">
        <v>170</v>
      </c>
      <c r="B77" s="208"/>
      <c r="C77" s="208"/>
      <c r="D77" s="209" t="str">
        <f>FIXED('roadside-macro'!EconomicFactor(TGF,i,n),5)</f>
        <v>0.97087</v>
      </c>
      <c r="E77" s="210" t="s">
        <v>171</v>
      </c>
      <c r="G77" s="193" t="s">
        <v>172</v>
      </c>
      <c r="H77" s="197"/>
      <c r="I77" s="198" t="s">
        <v>173</v>
      </c>
      <c r="J77" s="199">
        <v>0</v>
      </c>
      <c r="K77" s="205"/>
      <c r="L77" s="201">
        <v>85000</v>
      </c>
      <c r="M77" s="26"/>
      <c r="N77" s="26"/>
      <c r="O77" s="32"/>
      <c r="P77" s="176"/>
    </row>
    <row r="78" spans="1:16" ht="13.5" thickBot="1">
      <c r="A78" s="30"/>
      <c r="B78" s="30"/>
      <c r="C78" s="30"/>
      <c r="D78" s="30"/>
      <c r="E78" s="211"/>
      <c r="G78" s="207" t="s">
        <v>174</v>
      </c>
      <c r="H78" s="212"/>
      <c r="I78" s="213" t="s">
        <v>105</v>
      </c>
      <c r="J78" s="214">
        <v>0</v>
      </c>
      <c r="K78" s="215"/>
      <c r="L78" s="216">
        <v>8900</v>
      </c>
      <c r="M78" s="26"/>
      <c r="N78" s="26"/>
      <c r="O78" s="32"/>
      <c r="P78" s="176"/>
    </row>
    <row r="79" spans="1:14" ht="13.5" thickBot="1">
      <c r="A79" s="30"/>
      <c r="B79" s="217"/>
      <c r="C79" s="30"/>
      <c r="D79" s="30"/>
      <c r="E79" s="211"/>
      <c r="F79" s="206"/>
      <c r="G79" s="27"/>
      <c r="H79" s="30"/>
      <c r="I79" s="30"/>
      <c r="J79" s="218"/>
      <c r="K79" s="219"/>
      <c r="L79" s="206"/>
      <c r="M79" s="32"/>
      <c r="N79" s="176"/>
    </row>
    <row r="80" spans="1:14" ht="13.5" thickBot="1">
      <c r="A80" s="220" t="s">
        <v>175</v>
      </c>
      <c r="B80" s="221"/>
      <c r="C80" s="221"/>
      <c r="D80" s="222"/>
      <c r="E80" s="222"/>
      <c r="F80" s="222"/>
      <c r="G80" s="222"/>
      <c r="H80" s="223"/>
      <c r="I80" s="220" t="s">
        <v>176</v>
      </c>
      <c r="J80" s="186"/>
      <c r="K80" s="186"/>
      <c r="L80" s="224"/>
      <c r="M80" s="30"/>
      <c r="N80" s="176"/>
    </row>
    <row r="81" spans="1:14" ht="20.25">
      <c r="A81" s="225"/>
      <c r="B81" s="226"/>
      <c r="C81" s="226"/>
      <c r="D81" s="227" t="s">
        <v>99</v>
      </c>
      <c r="E81" s="227" t="s">
        <v>100</v>
      </c>
      <c r="F81" s="227" t="s">
        <v>101</v>
      </c>
      <c r="G81" s="227" t="s">
        <v>102</v>
      </c>
      <c r="H81" s="228" t="s">
        <v>103</v>
      </c>
      <c r="I81" s="229"/>
      <c r="J81" s="230"/>
      <c r="K81" s="231" t="s">
        <v>177</v>
      </c>
      <c r="L81" s="232" t="s">
        <v>178</v>
      </c>
      <c r="M81" s="233" t="s">
        <v>179</v>
      </c>
      <c r="N81" s="176"/>
    </row>
    <row r="82" spans="1:14" ht="12.75">
      <c r="A82" s="193" t="s">
        <v>112</v>
      </c>
      <c r="B82" s="194"/>
      <c r="C82" s="194"/>
      <c r="D82" s="234">
        <f>'roadside-macro'!SItable(SIUS,KCost,ACost,BCost,CCost,OCost)</f>
        <v>657169.4999999999</v>
      </c>
      <c r="E82" s="234">
        <f>'roadside-macro'!SItable(SIUS_B,KCost,ACost,BCost,CCost,OCost)</f>
        <v>0</v>
      </c>
      <c r="F82" s="234">
        <f>'roadside-macro'!SItable(SIUS_C,KCost,ACost,BCost,CCost,OCost)</f>
        <v>0</v>
      </c>
      <c r="G82" s="235">
        <f>'roadside-macro'!SItable(SIUS_D,KCost,ACost,BCost,CCost,OCost)</f>
        <v>0</v>
      </c>
      <c r="H82" s="236">
        <f>'roadside-macro'!SItable(SIUS_E,KCost,ACost,BCost,CCost,OCost)</f>
        <v>0</v>
      </c>
      <c r="I82" s="193" t="s">
        <v>180</v>
      </c>
      <c r="J82" s="217"/>
      <c r="K82" s="237">
        <f>IF(Speed&lt;=30,19.2,IF(Speed&lt;=40,17.2,IF(Speed&lt;=50,15.2,IF(Speed&lt;=60,13,11.6))))</f>
        <v>17.2</v>
      </c>
      <c r="L82" s="238">
        <f>IF(Speed&lt;=30,19.2,IF(Speed&lt;=40,17.2,IF(Speed&lt;=50,15.2,IF(Speed&lt;=60,13,11.6))))</f>
        <v>17.2</v>
      </c>
      <c r="M82" s="239" t="s">
        <v>181</v>
      </c>
      <c r="N82" s="176"/>
    </row>
    <row r="83" spans="1:14" ht="12.75">
      <c r="A83" s="193" t="s">
        <v>113</v>
      </c>
      <c r="B83" s="194"/>
      <c r="C83" s="194"/>
      <c r="D83" s="234">
        <f>'roadside-macro'!SItable(SIUC,KCost,ACost,BCost,CCost,OCost)</f>
        <v>657169.4999999999</v>
      </c>
      <c r="E83" s="234">
        <f>'roadside-macro'!SItable(SIUC_B,KCost,ACost,BCost,CCost,OCost)</f>
        <v>0</v>
      </c>
      <c r="F83" s="234">
        <f>'roadside-macro'!SItable(SIUC_C,KCost,ACost,BCost,CCost,OCost)</f>
        <v>0</v>
      </c>
      <c r="G83" s="235">
        <f>'roadside-macro'!SItable(SIUC_D,KCost,ACost,BCost,CCost,OCost)</f>
        <v>0</v>
      </c>
      <c r="H83" s="236">
        <f>'roadside-macro'!SItable(SIUC_E,KCost,ACost,BCost,CCost,OCost)</f>
        <v>0</v>
      </c>
      <c r="I83" s="240" t="s">
        <v>182</v>
      </c>
      <c r="J83" s="217"/>
      <c r="K83" s="241">
        <f>ADT*0.0005/2</f>
        <v>3.75</v>
      </c>
      <c r="L83" s="242">
        <f>IF(OR(HwyType="U",HwyType="u"),ADT*0.0005/2,0)</f>
        <v>3.75</v>
      </c>
      <c r="M83" s="239" t="s">
        <v>183</v>
      </c>
      <c r="N83" s="176"/>
    </row>
    <row r="84" spans="1:14" ht="12.75">
      <c r="A84" s="193" t="s">
        <v>114</v>
      </c>
      <c r="B84" s="194"/>
      <c r="C84" s="194"/>
      <c r="D84" s="234">
        <f>'roadside-macro'!SItable(SIF,KCost,ACost,BCost,CCost,OCost)</f>
        <v>36219</v>
      </c>
      <c r="E84" s="234">
        <f>'roadside-macro'!SItable(SIF_B,KCost,ACost,BCost,CCost,OCost)</f>
        <v>0</v>
      </c>
      <c r="F84" s="234">
        <f>'roadside-macro'!SItable(SIF_C,KCost,ACost,BCost,CCost,OCost)</f>
        <v>0</v>
      </c>
      <c r="G84" s="235">
        <f>'roadside-macro'!SItable(SIF_D,KCost,ACost,BCost,CCost,OCost)</f>
        <v>0</v>
      </c>
      <c r="H84" s="236">
        <f>'roadside-macro'!SItable(SIF_E,KCost,ACost,BCost,CCost,OCost)</f>
        <v>0</v>
      </c>
      <c r="I84" s="193" t="s">
        <v>184</v>
      </c>
      <c r="J84" s="217"/>
      <c r="K84" s="241">
        <f>IF(Degree&lt;=-6,4,IF(Degree&gt;=6,2,IF(Degree&lt;=-3,(-Degree-2),IF(Degree&gt;=3,(Degree*0.33333),1))))</f>
        <v>1</v>
      </c>
      <c r="L84" s="242">
        <f>IF(Degree&lt;=-6,4,IF(Degree&gt;=6,2,IF(Degree&lt;=-3,(-Degree-2),IF(Degree&gt;=3,(Degree*0.33333),1))))</f>
        <v>1</v>
      </c>
      <c r="M84" s="239" t="str">
        <f>IF(AND(NoLanes&gt;1,Analysis="R",HwyType="U"),"M","X")</f>
        <v>X</v>
      </c>
      <c r="N84" s="176"/>
    </row>
    <row r="85" spans="1:14" ht="12.75">
      <c r="A85" s="193" t="s">
        <v>115</v>
      </c>
      <c r="B85" s="194"/>
      <c r="C85" s="194"/>
      <c r="D85" s="234">
        <f>'roadside-macro'!SItable(SIDC,KCost,ACost,BCost,CCost,OCost)</f>
        <v>657169.4999999999</v>
      </c>
      <c r="E85" s="234">
        <f>'roadside-macro'!SItable(SIDC_B,KCost,ACost,BCost,CCost,OCost)</f>
        <v>0</v>
      </c>
      <c r="F85" s="234">
        <f>'roadside-macro'!SItable(SIDC_C,KCost,ACost,BCost,CCost,OCost)</f>
        <v>0</v>
      </c>
      <c r="G85" s="235">
        <f>'roadside-macro'!SItable(SIDC_D,KCost,ACost,BCost,CCost,OCost)</f>
        <v>0</v>
      </c>
      <c r="H85" s="236">
        <f>'roadside-macro'!SItable(SIDC_E,KCost,ACost,BCost,CCost,OCost)</f>
        <v>0</v>
      </c>
      <c r="I85" s="193" t="s">
        <v>185</v>
      </c>
      <c r="J85" s="217"/>
      <c r="K85" s="241">
        <f>IF(Grade&lt;=-6,2,IF(Grade&gt;=-2,1,(-0.25*Grade+0.5)))</f>
        <v>1</v>
      </c>
      <c r="L85" s="242">
        <f>IF(-Grade&lt;=-6,2,IF(-Grade&gt;=-2,1,(-0.25*(-Grade)+0.5)))</f>
        <v>1</v>
      </c>
      <c r="M85" s="243"/>
      <c r="N85" s="176"/>
    </row>
    <row r="86" spans="1:14" ht="13.5" thickBot="1">
      <c r="A86" s="207" t="s">
        <v>116</v>
      </c>
      <c r="B86" s="208"/>
      <c r="C86" s="208"/>
      <c r="D86" s="244">
        <f>'roadside-macro'!SItable(SIDS,KCost,ACost,BCost,CCost,OCost)</f>
        <v>657169.4999999999</v>
      </c>
      <c r="E86" s="244">
        <f>'roadside-macro'!SItable(SIDS_B,KCost,ACost,BCost,CCost,OCost)</f>
        <v>0</v>
      </c>
      <c r="F86" s="244">
        <f>'roadside-macro'!SItable(SIDS_C,KCost,ACost,BCost,CCost,OCost)</f>
        <v>0</v>
      </c>
      <c r="G86" s="245">
        <f>'roadside-macro'!SItable(SIDS_D,KCost,ACost,BCost,CCost,OCost)</f>
        <v>0</v>
      </c>
      <c r="H86" s="246">
        <f>'roadside-macro'!SItable(SIDS_E,KCost,ACost,BCost,CCost,OCost)</f>
        <v>0</v>
      </c>
      <c r="I86" s="193" t="s">
        <v>186</v>
      </c>
      <c r="J86" s="217"/>
      <c r="K86" s="241">
        <f>'roadside-macro'!Multilane(HwyType,NoLanes,Analysis,Speed,ADT)</f>
        <v>1</v>
      </c>
      <c r="L86" s="242">
        <f>'roadside-macro'!Multilane(HwyType,NoLanes,OppAnalysis,Speed,ADT)</f>
        <v>1</v>
      </c>
      <c r="M86" s="30"/>
      <c r="N86" s="247"/>
    </row>
    <row r="87" spans="1:13" ht="12.75">
      <c r="A87" s="27"/>
      <c r="B87" s="27"/>
      <c r="C87" s="27"/>
      <c r="D87" s="27"/>
      <c r="E87" s="27"/>
      <c r="F87" s="27"/>
      <c r="G87" s="27"/>
      <c r="H87" s="27"/>
      <c r="I87" s="193" t="s">
        <v>187</v>
      </c>
      <c r="J87" s="217"/>
      <c r="K87" s="241">
        <f>+D19</f>
        <v>1</v>
      </c>
      <c r="L87" s="242">
        <f>+D20</f>
        <v>1</v>
      </c>
      <c r="M87" s="30"/>
    </row>
    <row r="88" spans="1:13" ht="13.5" thickBot="1">
      <c r="A88" s="32"/>
      <c r="B88" s="32"/>
      <c r="C88" s="32"/>
      <c r="D88" s="32"/>
      <c r="E88" s="32"/>
      <c r="F88" s="248"/>
      <c r="G88" s="32"/>
      <c r="H88" s="32"/>
      <c r="I88" s="207" t="s">
        <v>188</v>
      </c>
      <c r="J88" s="249"/>
      <c r="K88" s="250">
        <f>+K83*K84*K85*K87*K86</f>
        <v>3.75</v>
      </c>
      <c r="L88" s="251">
        <f>+L83*L84*L85*L87*L86</f>
        <v>3.75</v>
      </c>
      <c r="M88" s="30"/>
    </row>
    <row r="89" spans="1:13" ht="13.5" thickBot="1">
      <c r="A89" s="32"/>
      <c r="B89" s="32"/>
      <c r="C89" s="32"/>
      <c r="D89" s="32"/>
      <c r="E89" s="32"/>
      <c r="F89" s="32"/>
      <c r="G89" s="32"/>
      <c r="H89" s="27"/>
      <c r="I89" s="32"/>
      <c r="J89" s="32"/>
      <c r="K89" s="32"/>
      <c r="L89" s="32"/>
      <c r="M89" s="32"/>
    </row>
    <row r="90" spans="1:19" ht="13.5">
      <c r="A90" s="252"/>
      <c r="B90" s="253"/>
      <c r="C90" s="254"/>
      <c r="D90" s="255" t="s">
        <v>177</v>
      </c>
      <c r="E90" s="256"/>
      <c r="F90" s="256"/>
      <c r="G90" s="252"/>
      <c r="H90" s="253"/>
      <c r="I90" s="254"/>
      <c r="J90" s="255" t="s">
        <v>178</v>
      </c>
      <c r="K90" s="256"/>
      <c r="L90" s="257"/>
      <c r="M90" s="32"/>
      <c r="N90"/>
      <c r="P90" s="26"/>
      <c r="Q90" s="26"/>
      <c r="R90" s="26"/>
      <c r="S90" s="26"/>
    </row>
    <row r="91" spans="1:19" ht="12.75">
      <c r="A91" s="258"/>
      <c r="B91" s="259"/>
      <c r="C91" s="260"/>
      <c r="D91" s="260"/>
      <c r="E91" s="261"/>
      <c r="F91" s="262"/>
      <c r="G91" s="258"/>
      <c r="H91" s="259"/>
      <c r="I91" s="260"/>
      <c r="J91" s="260"/>
      <c r="K91" s="261"/>
      <c r="L91" s="263"/>
      <c r="M91" s="32"/>
      <c r="N91"/>
      <c r="P91" s="26"/>
      <c r="Q91" s="26"/>
      <c r="R91" s="26"/>
      <c r="S91" s="26"/>
    </row>
    <row r="92" spans="1:19" ht="12.75">
      <c r="A92" s="264"/>
      <c r="B92" s="231" t="s">
        <v>189</v>
      </c>
      <c r="C92" s="231" t="s">
        <v>190</v>
      </c>
      <c r="D92" s="231" t="s">
        <v>191</v>
      </c>
      <c r="E92" s="231" t="s">
        <v>192</v>
      </c>
      <c r="F92" s="231" t="s">
        <v>193</v>
      </c>
      <c r="G92" s="264"/>
      <c r="H92" s="231" t="s">
        <v>189</v>
      </c>
      <c r="I92" s="231" t="s">
        <v>190</v>
      </c>
      <c r="J92" s="231" t="s">
        <v>191</v>
      </c>
      <c r="K92" s="231" t="s">
        <v>192</v>
      </c>
      <c r="L92" s="232" t="s">
        <v>193</v>
      </c>
      <c r="M92" s="32"/>
      <c r="N92"/>
      <c r="P92" s="26"/>
      <c r="Q92" s="26"/>
      <c r="R92" s="26"/>
      <c r="S92" s="26"/>
    </row>
    <row r="93" spans="1:19" ht="12.75">
      <c r="A93" s="265" t="s">
        <v>194</v>
      </c>
      <c r="B93" s="266">
        <f>Width/(TAN($K$82*PI()/180))</f>
        <v>6.460956081378589</v>
      </c>
      <c r="C93" s="266">
        <f>Width_B/(TAN($K$82*PI()/180))</f>
        <v>0</v>
      </c>
      <c r="D93" s="266">
        <f>Width_C/(TAN($K$82*PI()/180))</f>
        <v>0</v>
      </c>
      <c r="E93" s="266">
        <f>Width_D/(TAN($K$82*PI()/180))</f>
        <v>0</v>
      </c>
      <c r="F93" s="266">
        <f>Width_E/(TAN($K$82*PI()/180))</f>
        <v>0</v>
      </c>
      <c r="G93" s="265" t="s">
        <v>194</v>
      </c>
      <c r="H93" s="266">
        <f>Width/(TAN($K$82*PI()/180))</f>
        <v>6.460956081378589</v>
      </c>
      <c r="I93" s="266">
        <f>Width_B/(TAN($K$82*PI()/180))</f>
        <v>0</v>
      </c>
      <c r="J93" s="266">
        <f>Width_C/(TAN($K$82*PI()/180))</f>
        <v>0</v>
      </c>
      <c r="K93" s="266">
        <f>Width_D/(TAN($K$82*PI()/180))</f>
        <v>0</v>
      </c>
      <c r="L93" s="267">
        <f>Width_E/(TAN($K$82*PI()/180))</f>
        <v>0</v>
      </c>
      <c r="M93" s="32"/>
      <c r="N93"/>
      <c r="P93" s="26"/>
      <c r="Q93" s="26"/>
      <c r="R93" s="26"/>
      <c r="S93" s="26"/>
    </row>
    <row r="94" spans="1:19" ht="12.75">
      <c r="A94" s="265" t="s">
        <v>195</v>
      </c>
      <c r="B94" s="266">
        <f>SwathWidth/SIN($K$82*PI()/180)</f>
        <v>40.58056585951097</v>
      </c>
      <c r="C94" s="266">
        <f>SwathWidth/SIN($K$82*PI()/180)</f>
        <v>40.58056585951097</v>
      </c>
      <c r="D94" s="266">
        <f>SwathWidth/SIN($K$82*PI()/180)</f>
        <v>40.58056585951097</v>
      </c>
      <c r="E94" s="266">
        <f>SwathWidth/SIN($K$82*PI()/180)</f>
        <v>40.58056585951097</v>
      </c>
      <c r="F94" s="266">
        <f>SwathWidth/SIN($K$82*PI()/180)</f>
        <v>40.58056585951097</v>
      </c>
      <c r="G94" s="265" t="s">
        <v>195</v>
      </c>
      <c r="H94" s="266">
        <f>SwathWidth/SIN($K$82*PI()/180)</f>
        <v>40.58056585951097</v>
      </c>
      <c r="I94" s="266">
        <f>SwathWidth/SIN($K$82*PI()/180)</f>
        <v>40.58056585951097</v>
      </c>
      <c r="J94" s="266">
        <f>SwathWidth/SIN($K$82*PI()/180)</f>
        <v>40.58056585951097</v>
      </c>
      <c r="K94" s="266">
        <f>SwathWidth/SIN($K$82*PI()/180)</f>
        <v>40.58056585951097</v>
      </c>
      <c r="L94" s="267">
        <f>SwathWidth/SIN($K$82*PI()/180)</f>
        <v>40.58056585951097</v>
      </c>
      <c r="M94" s="32"/>
      <c r="N94"/>
      <c r="P94" s="26"/>
      <c r="Q94" s="26"/>
      <c r="R94" s="26"/>
      <c r="S94" s="26"/>
    </row>
    <row r="95" spans="1:19" ht="12.75">
      <c r="A95" s="265" t="s">
        <v>196</v>
      </c>
      <c r="B95" s="266">
        <f>+Length</f>
        <v>1000</v>
      </c>
      <c r="C95" s="266">
        <f>+Length_B</f>
        <v>0</v>
      </c>
      <c r="D95" s="266">
        <f>+Length_C</f>
        <v>0</v>
      </c>
      <c r="E95" s="266">
        <f>+Length_D</f>
        <v>0</v>
      </c>
      <c r="F95" s="266">
        <f>+Length_E</f>
        <v>0</v>
      </c>
      <c r="G95" s="265" t="s">
        <v>196</v>
      </c>
      <c r="H95" s="266">
        <f>+Length</f>
        <v>1000</v>
      </c>
      <c r="I95" s="266">
        <f>+Length_B</f>
        <v>0</v>
      </c>
      <c r="J95" s="266">
        <f>+Length_C</f>
        <v>0</v>
      </c>
      <c r="K95" s="266">
        <f>+Length_D</f>
        <v>0</v>
      </c>
      <c r="L95" s="267">
        <f>+Length_E</f>
        <v>0</v>
      </c>
      <c r="M95" s="32"/>
      <c r="N95"/>
      <c r="P95" s="26"/>
      <c r="Q95" s="26"/>
      <c r="R95" s="26"/>
      <c r="S95" s="26"/>
    </row>
    <row r="96" spans="1:19" ht="12.75">
      <c r="A96" s="265" t="s">
        <v>197</v>
      </c>
      <c r="B96" s="266">
        <f>SUM(B93:B95)</f>
        <v>1047.0415219408897</v>
      </c>
      <c r="C96" s="266">
        <f>SUM(C93:C95)</f>
        <v>40.58056585951097</v>
      </c>
      <c r="D96" s="266">
        <f>SUM(D93:D95)</f>
        <v>40.58056585951097</v>
      </c>
      <c r="E96" s="266">
        <f>SUM(E93:E95)</f>
        <v>40.58056585951097</v>
      </c>
      <c r="F96" s="266">
        <f>SUM(F93:F95)</f>
        <v>40.58056585951097</v>
      </c>
      <c r="G96" s="265" t="s">
        <v>197</v>
      </c>
      <c r="H96" s="266">
        <f>SUM(H93:H95)</f>
        <v>1047.0415219408897</v>
      </c>
      <c r="I96" s="266">
        <f>SUM(I93:I95)</f>
        <v>40.58056585951097</v>
      </c>
      <c r="J96" s="266">
        <f>SUM(J93:J95)</f>
        <v>40.58056585951097</v>
      </c>
      <c r="K96" s="266">
        <f>SUM(K93:K95)</f>
        <v>40.58056585951097</v>
      </c>
      <c r="L96" s="267">
        <f>SUM(L93:L95)</f>
        <v>40.58056585951097</v>
      </c>
      <c r="M96" s="32"/>
      <c r="N96"/>
      <c r="P96" s="26"/>
      <c r="Q96" s="26"/>
      <c r="R96" s="26"/>
      <c r="S96" s="26"/>
    </row>
    <row r="97" spans="1:19" ht="12.75">
      <c r="A97" s="268"/>
      <c r="B97" s="269"/>
      <c r="C97" s="269"/>
      <c r="D97" s="269"/>
      <c r="E97" s="269"/>
      <c r="F97" s="269"/>
      <c r="G97" s="268"/>
      <c r="H97" s="270"/>
      <c r="I97" s="270"/>
      <c r="J97" s="270"/>
      <c r="K97" s="270"/>
      <c r="L97" s="271"/>
      <c r="M97" s="32"/>
      <c r="N97"/>
      <c r="P97" s="26"/>
      <c r="Q97" s="26"/>
      <c r="R97" s="26"/>
      <c r="S97" s="26"/>
    </row>
    <row r="98" spans="1:19" ht="20.25">
      <c r="A98" s="272"/>
      <c r="B98" s="273" t="s">
        <v>198</v>
      </c>
      <c r="C98" s="273" t="s">
        <v>199</v>
      </c>
      <c r="D98" s="273" t="s">
        <v>200</v>
      </c>
      <c r="E98" s="273" t="s">
        <v>201</v>
      </c>
      <c r="F98" s="274" t="s">
        <v>202</v>
      </c>
      <c r="G98" s="275"/>
      <c r="H98" s="273" t="s">
        <v>198</v>
      </c>
      <c r="I98" s="273" t="s">
        <v>199</v>
      </c>
      <c r="J98" s="273" t="s">
        <v>200</v>
      </c>
      <c r="K98" s="273" t="s">
        <v>201</v>
      </c>
      <c r="L98" s="274" t="s">
        <v>202</v>
      </c>
      <c r="M98" s="32"/>
      <c r="N98"/>
      <c r="P98" s="26"/>
      <c r="Q98" s="26"/>
      <c r="R98" s="26"/>
      <c r="S98" s="26"/>
    </row>
    <row r="99" spans="1:19" ht="12.75">
      <c r="A99" s="276" t="s">
        <v>194</v>
      </c>
      <c r="B99" s="277">
        <f>+K88*B93/5280</f>
        <v>0.0045887472168882025</v>
      </c>
      <c r="C99" s="277">
        <f>+K88*C93/5280</f>
        <v>0</v>
      </c>
      <c r="D99" s="277">
        <f>+K88*D93/5280</f>
        <v>0</v>
      </c>
      <c r="E99" s="277">
        <f>+K88*E93/5280</f>
        <v>0</v>
      </c>
      <c r="F99" s="277">
        <f>+K88*F93/5280</f>
        <v>0</v>
      </c>
      <c r="G99" s="276" t="s">
        <v>194</v>
      </c>
      <c r="H99" s="277">
        <f>+L88*H93/5280</f>
        <v>0.0045887472168882025</v>
      </c>
      <c r="I99" s="277">
        <f>+L88*I93/5280</f>
        <v>0</v>
      </c>
      <c r="J99" s="277">
        <f>+L88*J93/5280</f>
        <v>0</v>
      </c>
      <c r="K99" s="277">
        <f>+L88*K93/5280</f>
        <v>0</v>
      </c>
      <c r="L99" s="278">
        <f>+L88*L93/5280</f>
        <v>0</v>
      </c>
      <c r="M99" s="32"/>
      <c r="N99"/>
      <c r="P99" s="26"/>
      <c r="Q99" s="26"/>
      <c r="R99" s="26"/>
      <c r="S99" s="26"/>
    </row>
    <row r="100" spans="1:19" ht="12.75">
      <c r="A100" s="276" t="s">
        <v>195</v>
      </c>
      <c r="B100" s="277">
        <f>+K88*B94/5280</f>
        <v>0.028821424616129947</v>
      </c>
      <c r="C100" s="277">
        <f>+K88*C94/5280</f>
        <v>0.028821424616129947</v>
      </c>
      <c r="D100" s="277">
        <f>+K88*D94/5280</f>
        <v>0.028821424616129947</v>
      </c>
      <c r="E100" s="277">
        <f>+K88*E94/5280</f>
        <v>0.028821424616129947</v>
      </c>
      <c r="F100" s="277">
        <f>+K88*F94/5280</f>
        <v>0.028821424616129947</v>
      </c>
      <c r="G100" s="276" t="s">
        <v>195</v>
      </c>
      <c r="H100" s="277">
        <f>+L88*H94/5280</f>
        <v>0.028821424616129947</v>
      </c>
      <c r="I100" s="277">
        <f>+L88*I94/5280</f>
        <v>0.028821424616129947</v>
      </c>
      <c r="J100" s="277">
        <f>+L88*J94/5280</f>
        <v>0.028821424616129947</v>
      </c>
      <c r="K100" s="277">
        <f>+L88*K94/5280</f>
        <v>0.028821424616129947</v>
      </c>
      <c r="L100" s="278">
        <f>+L88*L94/5280</f>
        <v>0.028821424616129947</v>
      </c>
      <c r="M100" s="32"/>
      <c r="N100"/>
      <c r="P100" s="26"/>
      <c r="Q100" s="26"/>
      <c r="R100" s="26"/>
      <c r="S100" s="26"/>
    </row>
    <row r="101" spans="1:19" ht="12.75">
      <c r="A101" s="276" t="s">
        <v>196</v>
      </c>
      <c r="B101" s="277">
        <f>+K88*B95/5280</f>
        <v>0.7102272727272727</v>
      </c>
      <c r="C101" s="277">
        <f>+K88*C95/5280</f>
        <v>0</v>
      </c>
      <c r="D101" s="277">
        <f>+K88*D95/5280</f>
        <v>0</v>
      </c>
      <c r="E101" s="277">
        <f>+K88*E95/5280</f>
        <v>0</v>
      </c>
      <c r="F101" s="277">
        <f>+K88*F95/5280</f>
        <v>0</v>
      </c>
      <c r="G101" s="276" t="s">
        <v>196</v>
      </c>
      <c r="H101" s="277">
        <f>+L88*H95/5280</f>
        <v>0.7102272727272727</v>
      </c>
      <c r="I101" s="277">
        <f>+L88*I95/5280</f>
        <v>0</v>
      </c>
      <c r="J101" s="277">
        <f>+L88*J95/5280</f>
        <v>0</v>
      </c>
      <c r="K101" s="277">
        <f>+L88*K95/5280</f>
        <v>0</v>
      </c>
      <c r="L101" s="278">
        <f>+L88*L95/5280</f>
        <v>0</v>
      </c>
      <c r="M101" s="32"/>
      <c r="N101"/>
      <c r="P101" s="26"/>
      <c r="Q101" s="26"/>
      <c r="R101" s="26"/>
      <c r="S101" s="26"/>
    </row>
    <row r="102" spans="1:19" ht="12.75">
      <c r="A102" s="276" t="s">
        <v>197</v>
      </c>
      <c r="B102" s="277">
        <f>SUM(B99:B101)</f>
        <v>0.7436374445602909</v>
      </c>
      <c r="C102" s="277">
        <f>SUM(C99:C101)</f>
        <v>0.028821424616129947</v>
      </c>
      <c r="D102" s="277">
        <f>SUM(D99:D101)</f>
        <v>0.028821424616129947</v>
      </c>
      <c r="E102" s="277">
        <f>SUM(E99:E101)</f>
        <v>0.028821424616129947</v>
      </c>
      <c r="F102" s="277">
        <f>SUM(F99:F101)</f>
        <v>0.028821424616129947</v>
      </c>
      <c r="G102" s="276" t="s">
        <v>197</v>
      </c>
      <c r="H102" s="277">
        <f>SUM(H99:H101)</f>
        <v>0.7436374445602909</v>
      </c>
      <c r="I102" s="277">
        <f>SUM(I99:I101)</f>
        <v>0.028821424616129947</v>
      </c>
      <c r="J102" s="277">
        <f>SUM(J99:J101)</f>
        <v>0.028821424616129947</v>
      </c>
      <c r="K102" s="277">
        <f>SUM(K99:K101)</f>
        <v>0.028821424616129947</v>
      </c>
      <c r="L102" s="278">
        <f>SUM(L99:L101)</f>
        <v>0.028821424616129947</v>
      </c>
      <c r="M102" s="32"/>
      <c r="N102"/>
      <c r="P102" s="26"/>
      <c r="Q102" s="26"/>
      <c r="R102" s="26"/>
      <c r="S102" s="26"/>
    </row>
    <row r="103" spans="1:19" ht="12.75">
      <c r="A103" s="276"/>
      <c r="B103" s="279"/>
      <c r="C103" s="279"/>
      <c r="D103" s="279"/>
      <c r="E103" s="279"/>
      <c r="F103" s="279"/>
      <c r="G103" s="276"/>
      <c r="H103" s="279"/>
      <c r="I103" s="279"/>
      <c r="J103" s="279"/>
      <c r="K103" s="279"/>
      <c r="L103" s="280"/>
      <c r="M103" s="32"/>
      <c r="N103"/>
      <c r="P103" s="26"/>
      <c r="Q103" s="26"/>
      <c r="R103" s="26"/>
      <c r="S103" s="26"/>
    </row>
    <row r="104" spans="1:19" ht="20.25">
      <c r="A104" s="281"/>
      <c r="B104" s="273" t="s">
        <v>203</v>
      </c>
      <c r="C104" s="273" t="s">
        <v>204</v>
      </c>
      <c r="D104" s="273" t="s">
        <v>205</v>
      </c>
      <c r="E104" s="273" t="s">
        <v>206</v>
      </c>
      <c r="F104" s="273" t="s">
        <v>207</v>
      </c>
      <c r="G104" s="282"/>
      <c r="H104" s="273" t="s">
        <v>203</v>
      </c>
      <c r="I104" s="273" t="s">
        <v>204</v>
      </c>
      <c r="J104" s="273" t="s">
        <v>205</v>
      </c>
      <c r="K104" s="273" t="s">
        <v>206</v>
      </c>
      <c r="L104" s="274" t="s">
        <v>207</v>
      </c>
      <c r="M104" s="32"/>
      <c r="N104"/>
      <c r="P104" s="26"/>
      <c r="Q104" s="26"/>
      <c r="R104" s="26"/>
      <c r="S104" s="26"/>
    </row>
    <row r="105" spans="1:19" ht="12.75">
      <c r="A105" s="276" t="s">
        <v>194</v>
      </c>
      <c r="B105" s="277">
        <f>'roadside-macro'!AdjZone1(Speed,Offset,Width,Length,EncAngle,SwathWidth,HwyType,NoLanes)</f>
        <v>0.248</v>
      </c>
      <c r="C105" s="277">
        <f>'roadside-macro'!AdjZone1(Speed,EffOffsetB,Width_B,Length_B,EncAngle,SwathWidth,HwyType,NoLanes)</f>
        <v>0</v>
      </c>
      <c r="D105" s="277">
        <f>'roadside-macro'!AdjZone1(Speed,EffOffsetC,Width_C,Length,EncAngle,SwathWidth,HwyType,NoLanes)</f>
        <v>0</v>
      </c>
      <c r="E105" s="277">
        <f>'roadside-macro'!AdjZone1(Speed,EffOffsetD,Width_D,Length,EncAngle,SwathWidth,HwyType,NoLanes)</f>
        <v>0</v>
      </c>
      <c r="F105" s="277">
        <f>'roadside-macro'!AdjZone1(Speed,EffOffsetE,Width_E,Length,EncAngle,SwathWidth,HwyType,NoLanes)</f>
        <v>0</v>
      </c>
      <c r="G105" s="276" t="s">
        <v>194</v>
      </c>
      <c r="H105" s="277">
        <f>'roadside-macro'!OppZone1(Speed,Offset,Width,Length,EncAngle,SwathWidth,HwyType,NoLanes,LaneWidth)</f>
        <v>0.07935</v>
      </c>
      <c r="I105" s="277">
        <f>'roadside-macro'!OppZone1(Speed,EffOffsetB,Width_B,Length,EncAngle,SwathWidth,HwyType,NoLanes,LaneWidth)</f>
        <v>0</v>
      </c>
      <c r="J105" s="277">
        <f>'roadside-macro'!OppZone1(Speed,EffOffsetC,Width_C,Length,EncAngle,SwathWidth,HwyType,NoLanes,LaneWidth)</f>
        <v>0</v>
      </c>
      <c r="K105" s="277">
        <f>'roadside-macro'!OppZone1(Speed,EffOffsetD,Width_D,Length,EncAngle,SwathWidth,HwyType,NoLanes,LaneWidth)</f>
        <v>0</v>
      </c>
      <c r="L105" s="278">
        <f>'roadside-macro'!OppZone1(Speed,EffOffsetE,Width_E,Length,EncAngle,SwathWidth,HwyType,NoLanes,LaneWidth)</f>
        <v>0</v>
      </c>
      <c r="M105" s="32"/>
      <c r="N105"/>
      <c r="P105" s="26"/>
      <c r="Q105" s="26"/>
      <c r="R105" s="26"/>
      <c r="S105" s="26"/>
    </row>
    <row r="106" spans="1:19" ht="12.75">
      <c r="A106" s="276" t="s">
        <v>195</v>
      </c>
      <c r="B106" s="277">
        <f>'roadside-macro'!AdjZone2(Speed,Offset,Width,Length,EncAngle,SwathWidth,HwyType,NoLanes)</f>
        <v>0.5805333333333335</v>
      </c>
      <c r="C106" s="277">
        <f>'roadside-macro'!AdjZone2(Speed,EffOffsetB,Width_B,Length_B,EncAngle,SwathWidth,HwyType,NoLanes)</f>
        <v>0</v>
      </c>
      <c r="D106" s="277">
        <f>'roadside-macro'!AdjZone2(Speed,EffOffsetC,Width_C,Length,EncAngle,SwathWidth,HwyType,NoLanes)</f>
        <v>0</v>
      </c>
      <c r="E106" s="277">
        <f>'roadside-macro'!AdjZone2(Speed,EffOffsetD,Width_D,Length,EncAngle,SwathWidth,HwyType,NoLanes)</f>
        <v>0</v>
      </c>
      <c r="F106" s="277">
        <f>'roadside-macro'!AdjZone2(Speed,EffOffsetE,Width_E,Length,EncAngle,SwathWidth,HwyType,NoLanes)</f>
        <v>0</v>
      </c>
      <c r="G106" s="276" t="s">
        <v>195</v>
      </c>
      <c r="H106" s="277">
        <f>'roadside-macro'!OppZone2(Speed,Offset,Width,Length,EncAngle,SwathWidth,HwyType,NoLanes,LaneWidth)</f>
        <v>0.16009166666666666</v>
      </c>
      <c r="I106" s="277">
        <f>'roadside-macro'!OppZone2(Speed,EffOffsetB,Width_B,Length,EncAngle,SwathWidth,HwyType,NoLanes,LaneWidth)</f>
        <v>0</v>
      </c>
      <c r="J106" s="277">
        <f>'roadside-macro'!OppZone2(Speed,EffOffsetC,Width_C,Length,EncAngle,SwathWidth,HwyType,NoLanes,LaneWidth)</f>
        <v>0</v>
      </c>
      <c r="K106" s="277">
        <f>'roadside-macro'!OppZone2(Speed,EffOffsetD,Width_D,Length,EncAngle,SwathWidth,HwyType,NoLanes,LaneWidth)</f>
        <v>0</v>
      </c>
      <c r="L106" s="278">
        <f>'roadside-macro'!OppZone2(Speed,EffOffsetE,Width_E,Length,EncAngle,SwathWidth,HwyType,NoLanes,LaneWidth)</f>
        <v>0</v>
      </c>
      <c r="M106" s="32"/>
      <c r="N106"/>
      <c r="P106" s="26"/>
      <c r="Q106" s="26"/>
      <c r="R106" s="26"/>
      <c r="S106" s="26"/>
    </row>
    <row r="107" spans="1:19" ht="12.75">
      <c r="A107" s="276" t="s">
        <v>196</v>
      </c>
      <c r="B107" s="277">
        <f>'roadside-macro'!AdjZone3(Speed,Offset,Width,Length,EncAngle,SwathWidth,HwyType,NoLanes)</f>
        <v>1</v>
      </c>
      <c r="C107" s="277">
        <f>'roadside-macro'!AdjZone3(Speed,EffOffsetB,Width_B,Length_B,EncAngle,SwathWidth,HwyType,NoLanes)</f>
        <v>0</v>
      </c>
      <c r="D107" s="277">
        <f>'roadside-macro'!AdjZone3(Speed,EffOffsetC,Width_C,Length_C,EncAngle,SwathWidth,HwyType,NoLanes)</f>
        <v>0</v>
      </c>
      <c r="E107" s="277">
        <f>'roadside-macro'!AdjZone3(Speed,EffOffsetD,Width_D,Length_D,EncAngle,SwathWidth,HwyType,NoLanes)</f>
        <v>0</v>
      </c>
      <c r="F107" s="277">
        <f>'roadside-macro'!AdjZone3(Speed,EffOffsetE,Width_E,Length_E,EncAngle,SwathWidth,HwyType,NoLanes)</f>
        <v>0</v>
      </c>
      <c r="G107" s="276" t="s">
        <v>196</v>
      </c>
      <c r="H107" s="277">
        <f>'roadside-macro'!OppZone3(Speed,Offset,Width,Length,EncAngle,SwathWidth,HwyType,NoLanes,LaneWidth)</f>
        <v>0.2352</v>
      </c>
      <c r="I107" s="277">
        <f>'roadside-macro'!OppZone3(Speed,EffOffsetB,Width_B,Length_B,EncAngle,SwathWidth,HwyType,NoLanes,LaneWidth)</f>
        <v>0</v>
      </c>
      <c r="J107" s="277">
        <f>'roadside-macro'!OppZone3(Speed,EffOffsetC,Width_C,Length_C,EncAngle,SwathWidth,HwyType,NoLanes,LaneWidth)</f>
        <v>0</v>
      </c>
      <c r="K107" s="277">
        <f>'roadside-macro'!OppZone3(Speed,EffOffsetD,Width_D,Length_D,EncAngle,SwathWidth,HwyType,NoLanes,LaneWidth)</f>
        <v>0</v>
      </c>
      <c r="L107" s="278">
        <f>'roadside-macro'!OppZone3(Speed,EffOffsetE,Width_E,Length_E,EncAngle,SwathWidth,HwyType,NoLanes,LaneWidth)</f>
        <v>0</v>
      </c>
      <c r="M107" s="32"/>
      <c r="N107"/>
      <c r="P107" s="26"/>
      <c r="Q107" s="26"/>
      <c r="R107" s="26"/>
      <c r="S107" s="26"/>
    </row>
    <row r="108" spans="1:19" ht="12.75">
      <c r="A108" s="276" t="s">
        <v>197</v>
      </c>
      <c r="B108" s="283"/>
      <c r="C108" s="284"/>
      <c r="D108" s="284"/>
      <c r="E108" s="284"/>
      <c r="F108" s="277"/>
      <c r="G108" s="276" t="s">
        <v>197</v>
      </c>
      <c r="H108" s="283"/>
      <c r="I108" s="284"/>
      <c r="J108" s="284"/>
      <c r="K108" s="284"/>
      <c r="L108" s="285"/>
      <c r="M108" s="32"/>
      <c r="N108"/>
      <c r="P108" s="26"/>
      <c r="Q108" s="26"/>
      <c r="R108" s="26"/>
      <c r="S108" s="26"/>
    </row>
    <row r="109" spans="1:19" ht="12.75">
      <c r="A109" s="286"/>
      <c r="B109" s="283"/>
      <c r="C109" s="283"/>
      <c r="D109" s="284"/>
      <c r="E109" s="283"/>
      <c r="F109" s="283"/>
      <c r="G109" s="276"/>
      <c r="H109" s="287"/>
      <c r="I109" s="283"/>
      <c r="J109" s="277"/>
      <c r="K109" s="283"/>
      <c r="L109" s="278"/>
      <c r="M109" s="32"/>
      <c r="N109"/>
      <c r="P109" s="26"/>
      <c r="Q109" s="26"/>
      <c r="R109" s="26"/>
      <c r="S109" s="26"/>
    </row>
    <row r="110" spans="1:19" ht="30">
      <c r="A110" s="288"/>
      <c r="B110" s="273" t="s">
        <v>208</v>
      </c>
      <c r="C110" s="273" t="s">
        <v>209</v>
      </c>
      <c r="D110" s="273" t="s">
        <v>210</v>
      </c>
      <c r="E110" s="273" t="s">
        <v>211</v>
      </c>
      <c r="F110" s="273" t="s">
        <v>212</v>
      </c>
      <c r="G110" s="289"/>
      <c r="H110" s="273" t="s">
        <v>208</v>
      </c>
      <c r="I110" s="273" t="s">
        <v>209</v>
      </c>
      <c r="J110" s="273" t="s">
        <v>210</v>
      </c>
      <c r="K110" s="273" t="s">
        <v>211</v>
      </c>
      <c r="L110" s="274" t="s">
        <v>212</v>
      </c>
      <c r="M110" s="32"/>
      <c r="N110"/>
      <c r="P110" s="26"/>
      <c r="Q110" s="26"/>
      <c r="R110" s="26"/>
      <c r="S110" s="26"/>
    </row>
    <row r="111" spans="1:19" ht="12.75">
      <c r="A111" s="276" t="s">
        <v>194</v>
      </c>
      <c r="B111" s="277">
        <f>AdjencfreqZone1*AdjProbZone1</f>
        <v>0.0011380093097882742</v>
      </c>
      <c r="C111" s="277">
        <f aca="true" t="shared" si="0" ref="C111:F113">C99*C105</f>
        <v>0</v>
      </c>
      <c r="D111" s="277">
        <f t="shared" si="0"/>
        <v>0</v>
      </c>
      <c r="E111" s="277">
        <f t="shared" si="0"/>
        <v>0</v>
      </c>
      <c r="F111" s="277">
        <f t="shared" si="0"/>
        <v>0</v>
      </c>
      <c r="G111" s="276" t="s">
        <v>194</v>
      </c>
      <c r="H111" s="277">
        <f>OppencfreqZone1*OppProbZone1</f>
        <v>0.0003641170916600789</v>
      </c>
      <c r="I111" s="277">
        <f aca="true" t="shared" si="1" ref="I111:L113">I99*I105</f>
        <v>0</v>
      </c>
      <c r="J111" s="277">
        <f t="shared" si="1"/>
        <v>0</v>
      </c>
      <c r="K111" s="277">
        <f t="shared" si="1"/>
        <v>0</v>
      </c>
      <c r="L111" s="278">
        <f t="shared" si="1"/>
        <v>0</v>
      </c>
      <c r="M111" s="32"/>
      <c r="N111"/>
      <c r="P111" s="26"/>
      <c r="Q111" s="26"/>
      <c r="R111" s="26"/>
      <c r="S111" s="26"/>
    </row>
    <row r="112" spans="1:19" ht="12.75">
      <c r="A112" s="276" t="s">
        <v>195</v>
      </c>
      <c r="B112" s="277">
        <f>AdjencfreqZone2*AdjProbZone2</f>
        <v>0.01673179770381731</v>
      </c>
      <c r="C112" s="277">
        <f t="shared" si="0"/>
        <v>0</v>
      </c>
      <c r="D112" s="277">
        <f t="shared" si="0"/>
        <v>0</v>
      </c>
      <c r="E112" s="277">
        <f t="shared" si="0"/>
        <v>0</v>
      </c>
      <c r="F112" s="277">
        <f t="shared" si="0"/>
        <v>0</v>
      </c>
      <c r="G112" s="276" t="s">
        <v>195</v>
      </c>
      <c r="H112" s="277">
        <f>OppencfreqZone2*OppProbZone2</f>
        <v>0.004614069902503936</v>
      </c>
      <c r="I112" s="277">
        <f t="shared" si="1"/>
        <v>0</v>
      </c>
      <c r="J112" s="277">
        <f t="shared" si="1"/>
        <v>0</v>
      </c>
      <c r="K112" s="277">
        <f t="shared" si="1"/>
        <v>0</v>
      </c>
      <c r="L112" s="278">
        <f t="shared" si="1"/>
        <v>0</v>
      </c>
      <c r="M112" s="32"/>
      <c r="N112"/>
      <c r="P112" s="26"/>
      <c r="Q112" s="26"/>
      <c r="R112" s="26"/>
      <c r="S112" s="26"/>
    </row>
    <row r="113" spans="1:19" ht="12.75">
      <c r="A113" s="276" t="s">
        <v>196</v>
      </c>
      <c r="B113" s="277">
        <f>AdjencfreqZone3*AdjProbZone3</f>
        <v>0.7102272727272727</v>
      </c>
      <c r="C113" s="277">
        <f t="shared" si="0"/>
        <v>0</v>
      </c>
      <c r="D113" s="277">
        <f t="shared" si="0"/>
        <v>0</v>
      </c>
      <c r="E113" s="277">
        <f t="shared" si="0"/>
        <v>0</v>
      </c>
      <c r="F113" s="277">
        <f t="shared" si="0"/>
        <v>0</v>
      </c>
      <c r="G113" s="276" t="s">
        <v>196</v>
      </c>
      <c r="H113" s="277">
        <f>OppencfreqZone3*OppProbZone3</f>
        <v>0.16704545454545452</v>
      </c>
      <c r="I113" s="277">
        <f t="shared" si="1"/>
        <v>0</v>
      </c>
      <c r="J113" s="277">
        <f t="shared" si="1"/>
        <v>0</v>
      </c>
      <c r="K113" s="277">
        <f t="shared" si="1"/>
        <v>0</v>
      </c>
      <c r="L113" s="278">
        <f t="shared" si="1"/>
        <v>0</v>
      </c>
      <c r="M113" s="32"/>
      <c r="N113"/>
      <c r="P113" s="26"/>
      <c r="Q113" s="26"/>
      <c r="R113" s="26"/>
      <c r="S113" s="26"/>
    </row>
    <row r="114" spans="1:19" ht="12.75">
      <c r="A114" s="276" t="s">
        <v>197</v>
      </c>
      <c r="B114" s="277">
        <f>SUM(B111:B113)</f>
        <v>0.7280970797408783</v>
      </c>
      <c r="C114" s="277">
        <f>SUM(C111:C113)</f>
        <v>0</v>
      </c>
      <c r="D114" s="277">
        <f>SUM(D111:D113)</f>
        <v>0</v>
      </c>
      <c r="E114" s="277">
        <f>SUM(E111:E113)</f>
        <v>0</v>
      </c>
      <c r="F114" s="277">
        <f>SUM(F111:F113)</f>
        <v>0</v>
      </c>
      <c r="G114" s="276" t="s">
        <v>197</v>
      </c>
      <c r="H114" s="277">
        <f>SUM(H111:H113)</f>
        <v>0.17202364153961855</v>
      </c>
      <c r="I114" s="277">
        <f>SUM(I111:I113)</f>
        <v>0</v>
      </c>
      <c r="J114" s="277">
        <f>SUM(J111:J113)</f>
        <v>0</v>
      </c>
      <c r="K114" s="277">
        <f>SUM(K111:K113)</f>
        <v>0</v>
      </c>
      <c r="L114" s="278">
        <f>SUM(L111:L113)</f>
        <v>0</v>
      </c>
      <c r="M114" s="32"/>
      <c r="N114"/>
      <c r="P114" s="26"/>
      <c r="Q114" s="26"/>
      <c r="R114" s="26"/>
      <c r="S114" s="26"/>
    </row>
    <row r="115" spans="1:19" ht="12.75">
      <c r="A115" s="286"/>
      <c r="B115" s="283"/>
      <c r="C115" s="283"/>
      <c r="D115" s="290"/>
      <c r="E115" s="290"/>
      <c r="F115" s="283"/>
      <c r="G115" s="291"/>
      <c r="H115" s="292"/>
      <c r="I115" s="292"/>
      <c r="J115" s="292"/>
      <c r="K115" s="292"/>
      <c r="L115" s="293"/>
      <c r="M115" s="32"/>
      <c r="N115"/>
      <c r="P115" s="26"/>
      <c r="Q115" s="26"/>
      <c r="R115" s="26"/>
      <c r="S115" s="26"/>
    </row>
    <row r="116" spans="1:19" ht="20.25">
      <c r="A116" s="288"/>
      <c r="B116" s="273" t="s">
        <v>213</v>
      </c>
      <c r="C116" s="273" t="s">
        <v>214</v>
      </c>
      <c r="D116" s="273" t="s">
        <v>215</v>
      </c>
      <c r="E116" s="273" t="s">
        <v>216</v>
      </c>
      <c r="F116" s="273" t="s">
        <v>217</v>
      </c>
      <c r="G116" s="289"/>
      <c r="H116" s="273" t="s">
        <v>213</v>
      </c>
      <c r="I116" s="273" t="s">
        <v>214</v>
      </c>
      <c r="J116" s="273" t="s">
        <v>215</v>
      </c>
      <c r="K116" s="273" t="s">
        <v>216</v>
      </c>
      <c r="L116" s="274" t="s">
        <v>217</v>
      </c>
      <c r="M116" s="32"/>
      <c r="N116"/>
      <c r="P116" s="176"/>
      <c r="Q116" s="176"/>
      <c r="R116" s="294"/>
      <c r="S116" s="26"/>
    </row>
    <row r="117" spans="1:19" ht="12.75">
      <c r="A117" s="276" t="s">
        <v>194</v>
      </c>
      <c r="B117" s="295">
        <f aca="true" t="shared" si="2" ref="B117:F119">+B111*D82</f>
        <v>747.8650091089052</v>
      </c>
      <c r="C117" s="295">
        <f t="shared" si="2"/>
        <v>0</v>
      </c>
      <c r="D117" s="295">
        <f t="shared" si="2"/>
        <v>0</v>
      </c>
      <c r="E117" s="295">
        <f t="shared" si="2"/>
        <v>0</v>
      </c>
      <c r="F117" s="295">
        <f t="shared" si="2"/>
        <v>0</v>
      </c>
      <c r="G117" s="276" t="s">
        <v>194</v>
      </c>
      <c r="H117" s="295">
        <f>+H111*D86</f>
        <v>239.28664706770817</v>
      </c>
      <c r="I117" s="295">
        <f>+I111*E86</f>
        <v>0</v>
      </c>
      <c r="J117" s="295">
        <f>+J111*F86</f>
        <v>0</v>
      </c>
      <c r="K117" s="295">
        <f>+K111*G86</f>
        <v>0</v>
      </c>
      <c r="L117" s="296">
        <f>+L111*H86</f>
        <v>0</v>
      </c>
      <c r="M117" s="32"/>
      <c r="N117"/>
      <c r="P117" s="176"/>
      <c r="Q117" s="176"/>
      <c r="R117" s="26"/>
      <c r="S117" s="26"/>
    </row>
    <row r="118" spans="1:19" ht="12.75">
      <c r="A118" s="276" t="s">
        <v>195</v>
      </c>
      <c r="B118" s="295">
        <f t="shared" si="2"/>
        <v>10995.627131118768</v>
      </c>
      <c r="C118" s="295">
        <f t="shared" si="2"/>
        <v>0</v>
      </c>
      <c r="D118" s="295">
        <f t="shared" si="2"/>
        <v>0</v>
      </c>
      <c r="E118" s="295">
        <f t="shared" si="2"/>
        <v>0</v>
      </c>
      <c r="F118" s="295">
        <f t="shared" si="2"/>
        <v>0</v>
      </c>
      <c r="G118" s="276" t="s">
        <v>195</v>
      </c>
      <c r="H118" s="295">
        <f>+H112*D85</f>
        <v>3032.22601079356</v>
      </c>
      <c r="I118" s="295">
        <f>+I112*E85</f>
        <v>0</v>
      </c>
      <c r="J118" s="295">
        <f>+J112*F85</f>
        <v>0</v>
      </c>
      <c r="K118" s="295">
        <f>+K112*G85</f>
        <v>0</v>
      </c>
      <c r="L118" s="296">
        <f>+L112*H85</f>
        <v>0</v>
      </c>
      <c r="M118" s="32"/>
      <c r="N118"/>
      <c r="P118" s="176"/>
      <c r="Q118" s="176"/>
      <c r="R118" s="31"/>
      <c r="S118" s="26"/>
    </row>
    <row r="119" spans="1:19" ht="12.75">
      <c r="A119" s="276" t="s">
        <v>196</v>
      </c>
      <c r="B119" s="295">
        <f t="shared" si="2"/>
        <v>25723.721590909092</v>
      </c>
      <c r="C119" s="295">
        <f t="shared" si="2"/>
        <v>0</v>
      </c>
      <c r="D119" s="295">
        <f t="shared" si="2"/>
        <v>0</v>
      </c>
      <c r="E119" s="295">
        <f t="shared" si="2"/>
        <v>0</v>
      </c>
      <c r="F119" s="295">
        <f t="shared" si="2"/>
        <v>0</v>
      </c>
      <c r="G119" s="276" t="s">
        <v>196</v>
      </c>
      <c r="H119" s="295">
        <f>+H113*D84</f>
        <v>6050.2193181818175</v>
      </c>
      <c r="I119" s="295">
        <f>+I113*E84</f>
        <v>0</v>
      </c>
      <c r="J119" s="295">
        <f>+J113*F84</f>
        <v>0</v>
      </c>
      <c r="K119" s="295">
        <f>+K113*G84</f>
        <v>0</v>
      </c>
      <c r="L119" s="296">
        <f>+L113*H84</f>
        <v>0</v>
      </c>
      <c r="M119" s="32"/>
      <c r="N119"/>
      <c r="P119" s="176"/>
      <c r="Q119" s="176"/>
      <c r="R119" s="31"/>
      <c r="S119" s="26"/>
    </row>
    <row r="120" spans="1:19" ht="13.5" thickBot="1">
      <c r="A120" s="297" t="s">
        <v>197</v>
      </c>
      <c r="B120" s="298">
        <f>SUM(B117:B119)</f>
        <v>37467.21373113677</v>
      </c>
      <c r="C120" s="298">
        <f>SUM(C117:C119)</f>
        <v>0</v>
      </c>
      <c r="D120" s="298">
        <f>SUM(D117:D119)</f>
        <v>0</v>
      </c>
      <c r="E120" s="298">
        <f>SUM(E117:E119)</f>
        <v>0</v>
      </c>
      <c r="F120" s="298">
        <f>SUM(F117:F119)</f>
        <v>0</v>
      </c>
      <c r="G120" s="297" t="s">
        <v>197</v>
      </c>
      <c r="H120" s="298">
        <f>SUM(H117:H119)</f>
        <v>9321.731976043086</v>
      </c>
      <c r="I120" s="298">
        <f>SUM(I117:I119)</f>
        <v>0</v>
      </c>
      <c r="J120" s="298">
        <f>SUM(J117:J119)</f>
        <v>0</v>
      </c>
      <c r="K120" s="298">
        <f>SUM(K117:K119)</f>
        <v>0</v>
      </c>
      <c r="L120" s="299">
        <f>SUM(L117:L119)</f>
        <v>0</v>
      </c>
      <c r="M120" s="32"/>
      <c r="N120"/>
      <c r="P120" s="31"/>
      <c r="Q120" s="31"/>
      <c r="R120" s="31"/>
      <c r="S120" s="26"/>
    </row>
    <row r="121" spans="1:19" ht="13.5" thickBo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/>
      <c r="S121" s="31"/>
    </row>
    <row r="122" spans="1:19" ht="30">
      <c r="A122" s="32"/>
      <c r="B122" s="32"/>
      <c r="C122" s="32"/>
      <c r="D122" s="32"/>
      <c r="E122" s="300" t="s">
        <v>177</v>
      </c>
      <c r="F122" s="301" t="s">
        <v>218</v>
      </c>
      <c r="G122" s="32"/>
      <c r="H122" s="32"/>
      <c r="I122" s="32"/>
      <c r="J122" s="302"/>
      <c r="K122" s="303" t="s">
        <v>178</v>
      </c>
      <c r="L122" s="301" t="s">
        <v>218</v>
      </c>
      <c r="M122" s="32"/>
      <c r="N122"/>
      <c r="S122" s="176"/>
    </row>
    <row r="123" spans="1:19" ht="12.75">
      <c r="A123" s="32"/>
      <c r="B123" s="32"/>
      <c r="C123" s="32"/>
      <c r="D123" s="32"/>
      <c r="E123" s="276" t="s">
        <v>194</v>
      </c>
      <c r="F123" s="304">
        <f>SUM(B117:F117)</f>
        <v>747.8650091089052</v>
      </c>
      <c r="G123" s="32"/>
      <c r="H123" s="32"/>
      <c r="I123" s="32"/>
      <c r="J123" s="32"/>
      <c r="K123" s="276" t="s">
        <v>194</v>
      </c>
      <c r="L123" s="304">
        <f>SUM(H117:L117)</f>
        <v>239.28664706770817</v>
      </c>
      <c r="M123" s="302"/>
      <c r="N123"/>
      <c r="S123" s="176"/>
    </row>
    <row r="124" spans="1:19" ht="12.75">
      <c r="A124" s="32"/>
      <c r="B124" s="32"/>
      <c r="C124" s="32"/>
      <c r="D124" s="32"/>
      <c r="E124" s="276" t="s">
        <v>195</v>
      </c>
      <c r="F124" s="304">
        <f>SUM(B118:F118)</f>
        <v>10995.627131118768</v>
      </c>
      <c r="G124" s="32"/>
      <c r="H124" s="32"/>
      <c r="I124" s="32"/>
      <c r="J124" s="30"/>
      <c r="K124" s="276" t="s">
        <v>195</v>
      </c>
      <c r="L124" s="304">
        <f>SUM(H118:L118)</f>
        <v>3032.22601079356</v>
      </c>
      <c r="M124" s="32"/>
      <c r="N124"/>
      <c r="S124" s="31"/>
    </row>
    <row r="125" spans="1:19" ht="12.75">
      <c r="A125" s="32"/>
      <c r="B125" s="32"/>
      <c r="C125" s="32"/>
      <c r="D125" s="32"/>
      <c r="E125" s="276" t="s">
        <v>196</v>
      </c>
      <c r="F125" s="304">
        <f>SUM(B119:F119)</f>
        <v>25723.721590909092</v>
      </c>
      <c r="G125" s="32"/>
      <c r="H125" s="32"/>
      <c r="I125" s="32"/>
      <c r="J125" s="30"/>
      <c r="K125" s="276" t="s">
        <v>196</v>
      </c>
      <c r="L125" s="304">
        <f>SUM(H119:L119)</f>
        <v>6050.2193181818175</v>
      </c>
      <c r="M125" s="32"/>
      <c r="N125"/>
      <c r="S125" s="31"/>
    </row>
    <row r="126" spans="1:19" ht="13.5" thickBot="1">
      <c r="A126" s="32"/>
      <c r="B126" s="32"/>
      <c r="C126" s="32"/>
      <c r="D126" s="32"/>
      <c r="E126" s="297" t="s">
        <v>197</v>
      </c>
      <c r="F126" s="305">
        <f>SUM(F123:F125)</f>
        <v>37467.21373113677</v>
      </c>
      <c r="G126" s="32"/>
      <c r="H126" s="32"/>
      <c r="I126" s="32"/>
      <c r="J126" s="32"/>
      <c r="K126" s="297" t="s">
        <v>197</v>
      </c>
      <c r="L126" s="305">
        <f>SUM(L123:L125)</f>
        <v>9321.731976043086</v>
      </c>
      <c r="M126" s="302"/>
      <c r="N126"/>
      <c r="S126" s="31"/>
    </row>
    <row r="127" spans="1:19" ht="13.5" thickBo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02"/>
      <c r="M127" s="302"/>
      <c r="N127"/>
      <c r="S127" s="31"/>
    </row>
    <row r="128" spans="1:19" ht="13.5" thickBot="1">
      <c r="A128" s="32"/>
      <c r="B128" s="32"/>
      <c r="C128" s="32"/>
      <c r="D128" s="32"/>
      <c r="E128" s="32"/>
      <c r="F128" s="32"/>
      <c r="G128" s="32"/>
      <c r="H128" s="306" t="s">
        <v>219</v>
      </c>
      <c r="I128" s="307"/>
      <c r="J128" s="307"/>
      <c r="K128" s="307"/>
      <c r="L128" s="308"/>
      <c r="M128" s="302"/>
      <c r="N128"/>
      <c r="S128" s="31"/>
    </row>
    <row r="129" spans="1:19" ht="12.75">
      <c r="A129" s="32"/>
      <c r="B129" s="32"/>
      <c r="C129" s="32"/>
      <c r="D129" s="32"/>
      <c r="E129" s="32"/>
      <c r="F129" s="32"/>
      <c r="G129" s="32"/>
      <c r="H129" s="309"/>
      <c r="I129" s="310" t="s">
        <v>220</v>
      </c>
      <c r="J129" s="231" t="s">
        <v>177</v>
      </c>
      <c r="K129" s="231" t="s">
        <v>178</v>
      </c>
      <c r="L129" s="311" t="s">
        <v>197</v>
      </c>
      <c r="M129" s="302"/>
      <c r="N129"/>
      <c r="S129" s="31"/>
    </row>
    <row r="130" spans="1:19" ht="12.75">
      <c r="A130" s="32"/>
      <c r="B130" s="32"/>
      <c r="C130" s="32"/>
      <c r="D130" s="32"/>
      <c r="E130" s="32"/>
      <c r="F130" s="32"/>
      <c r="G130" s="32"/>
      <c r="H130" s="193" t="s">
        <v>221</v>
      </c>
      <c r="I130" s="194"/>
      <c r="J130" s="312">
        <f>SUM(B114:F114)</f>
        <v>0.7280970797408783</v>
      </c>
      <c r="K130" s="312">
        <f>SUM(H114:L114)</f>
        <v>0.17202364153961855</v>
      </c>
      <c r="L130" s="313">
        <f>SUM(J130:K130)</f>
        <v>0.9001207212804969</v>
      </c>
      <c r="M130" s="302"/>
      <c r="N130"/>
      <c r="S130" s="31"/>
    </row>
    <row r="131" spans="1:19" ht="12.75">
      <c r="A131" s="32"/>
      <c r="B131" s="32"/>
      <c r="C131" s="32"/>
      <c r="D131" s="32"/>
      <c r="E131" s="32"/>
      <c r="F131" s="32"/>
      <c r="G131" s="32"/>
      <c r="H131" s="193" t="s">
        <v>222</v>
      </c>
      <c r="I131" s="194"/>
      <c r="J131" s="314">
        <f>+J130*$D$77*($F$9/$D$9)</f>
        <v>0.7068876118080265</v>
      </c>
      <c r="K131" s="315">
        <f>+K130*$D$77*($F$9/$D$9)</f>
        <v>0.16701259286156947</v>
      </c>
      <c r="L131" s="316">
        <f>SUM(J131:K131)</f>
        <v>0.873900204669596</v>
      </c>
      <c r="M131" s="302"/>
      <c r="N131"/>
      <c r="S131" s="31"/>
    </row>
    <row r="132" spans="1:19" ht="12.75">
      <c r="A132" s="32"/>
      <c r="B132" s="32"/>
      <c r="C132" s="32"/>
      <c r="D132" s="32"/>
      <c r="E132" s="32"/>
      <c r="F132" s="32"/>
      <c r="G132" s="32"/>
      <c r="H132" s="317" t="s">
        <v>223</v>
      </c>
      <c r="I132" s="194"/>
      <c r="J132" s="318"/>
      <c r="K132" s="237"/>
      <c r="L132" s="319"/>
      <c r="M132" s="302"/>
      <c r="N132"/>
      <c r="S132" s="31"/>
    </row>
    <row r="133" spans="1:19" ht="13.5" thickBot="1">
      <c r="A133" s="32"/>
      <c r="B133" s="32"/>
      <c r="C133" s="32"/>
      <c r="D133" s="32"/>
      <c r="E133" s="32"/>
      <c r="F133" s="32"/>
      <c r="G133" s="32"/>
      <c r="H133" s="207" t="s">
        <v>224</v>
      </c>
      <c r="I133" s="208"/>
      <c r="J133" s="320">
        <f>SUM(B120:F120)</f>
        <v>37467.21373113677</v>
      </c>
      <c r="K133" s="320">
        <f>SUM(H120:L120)</f>
        <v>9321.731976043086</v>
      </c>
      <c r="L133" s="321">
        <f>SUM(J133:K133)</f>
        <v>46788.94570717985</v>
      </c>
      <c r="M133" s="302"/>
      <c r="N133"/>
      <c r="S133" s="176"/>
    </row>
    <row r="134" spans="1:19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02"/>
      <c r="M134" s="302"/>
      <c r="N134"/>
      <c r="S134" s="176"/>
    </row>
    <row r="135" spans="1:19" ht="12.75">
      <c r="A135" s="32"/>
      <c r="B135" s="32"/>
      <c r="C135"/>
      <c r="D135"/>
      <c r="E135"/>
      <c r="F135"/>
      <c r="G135"/>
      <c r="H135"/>
      <c r="I135"/>
      <c r="J135" s="32"/>
      <c r="K135" s="32"/>
      <c r="L135" s="32"/>
      <c r="M135" s="176"/>
      <c r="N135"/>
      <c r="S135" s="26"/>
    </row>
    <row r="136" spans="1:19" ht="12.75">
      <c r="A136" s="32"/>
      <c r="B136" s="32"/>
      <c r="C136"/>
      <c r="D136"/>
      <c r="E136"/>
      <c r="F136"/>
      <c r="G136"/>
      <c r="H136"/>
      <c r="I136"/>
      <c r="J136" s="32"/>
      <c r="K136" s="32"/>
      <c r="L136" s="32"/>
      <c r="M136" s="176"/>
      <c r="N136"/>
      <c r="S136" s="26"/>
    </row>
    <row r="137" spans="1:19" ht="12.75">
      <c r="A137" s="32"/>
      <c r="B137" s="32"/>
      <c r="C137"/>
      <c r="D137"/>
      <c r="E137"/>
      <c r="F137"/>
      <c r="G137"/>
      <c r="H137"/>
      <c r="I137"/>
      <c r="J137" s="32"/>
      <c r="K137" s="32"/>
      <c r="L137" s="27"/>
      <c r="M137" s="26"/>
      <c r="N137"/>
      <c r="S137" s="26"/>
    </row>
    <row r="138" spans="1:19" ht="12.75">
      <c r="A138" s="32"/>
      <c r="B138" s="32"/>
      <c r="C138"/>
      <c r="D138"/>
      <c r="E138"/>
      <c r="F138"/>
      <c r="G138"/>
      <c r="H138"/>
      <c r="I138"/>
      <c r="J138" s="32"/>
      <c r="K138" s="32"/>
      <c r="L138" s="30"/>
      <c r="N138"/>
      <c r="S138" s="26"/>
    </row>
    <row r="139" spans="1:19" ht="12.75">
      <c r="A139" s="32"/>
      <c r="B139" s="32"/>
      <c r="C139"/>
      <c r="D139"/>
      <c r="E139"/>
      <c r="F139"/>
      <c r="G139"/>
      <c r="H139"/>
      <c r="I139"/>
      <c r="J139" s="32"/>
      <c r="K139" s="32"/>
      <c r="L139" s="30"/>
      <c r="N139"/>
      <c r="S139" s="26"/>
    </row>
    <row r="140" spans="1:19" ht="12.75">
      <c r="A140" s="32"/>
      <c r="B140" s="32"/>
      <c r="C140"/>
      <c r="D140"/>
      <c r="E140"/>
      <c r="F140"/>
      <c r="G140"/>
      <c r="H140"/>
      <c r="I140"/>
      <c r="J140" s="27"/>
      <c r="K140" s="27"/>
      <c r="L140" s="30"/>
      <c r="N140"/>
      <c r="S140" s="26"/>
    </row>
    <row r="141" spans="1:19" ht="12.75">
      <c r="A141" s="32"/>
      <c r="B141" s="32"/>
      <c r="C141"/>
      <c r="D141"/>
      <c r="E141"/>
      <c r="F141"/>
      <c r="G141"/>
      <c r="H141"/>
      <c r="I141"/>
      <c r="J141" s="27"/>
      <c r="K141" s="27"/>
      <c r="L141" s="30"/>
      <c r="N141"/>
      <c r="S141" s="26"/>
    </row>
    <row r="142" spans="1:19" ht="12.75">
      <c r="A142" s="32"/>
      <c r="B142" s="32"/>
      <c r="C142"/>
      <c r="D142"/>
      <c r="E142"/>
      <c r="F142"/>
      <c r="G142"/>
      <c r="H142"/>
      <c r="I142"/>
      <c r="J142" s="27"/>
      <c r="K142" s="27"/>
      <c r="L142" s="30"/>
      <c r="N142"/>
      <c r="S142" s="26"/>
    </row>
    <row r="143" spans="1:19" ht="12.75">
      <c r="A143" s="32"/>
      <c r="B143" s="32"/>
      <c r="C143"/>
      <c r="D143"/>
      <c r="E143"/>
      <c r="F143"/>
      <c r="G143"/>
      <c r="H143"/>
      <c r="I143"/>
      <c r="J143" s="27"/>
      <c r="K143" s="27"/>
      <c r="L143" s="30"/>
      <c r="N143"/>
      <c r="S143" s="26"/>
    </row>
    <row r="144" spans="1:19" ht="12.75">
      <c r="A144" s="32"/>
      <c r="B144" s="32"/>
      <c r="C144"/>
      <c r="D144"/>
      <c r="E144"/>
      <c r="F144"/>
      <c r="G144"/>
      <c r="H144"/>
      <c r="I144"/>
      <c r="J144" s="27"/>
      <c r="K144" s="27"/>
      <c r="L144" s="30"/>
      <c r="N144"/>
      <c r="S144" s="26"/>
    </row>
    <row r="145" spans="1:19" ht="12.75">
      <c r="A145" s="32"/>
      <c r="B145" s="32"/>
      <c r="C145"/>
      <c r="D145"/>
      <c r="E145"/>
      <c r="F145"/>
      <c r="G145"/>
      <c r="H145"/>
      <c r="I145"/>
      <c r="J145" s="27"/>
      <c r="K145" s="27"/>
      <c r="L145" s="30"/>
      <c r="N145"/>
      <c r="S145" s="26"/>
    </row>
    <row r="146" spans="1:19" ht="12.75">
      <c r="A146" s="32"/>
      <c r="B146" s="32"/>
      <c r="C146"/>
      <c r="D146"/>
      <c r="E146"/>
      <c r="F146"/>
      <c r="G146"/>
      <c r="H146"/>
      <c r="I146"/>
      <c r="J146" s="27"/>
      <c r="K146" s="27"/>
      <c r="L146" s="30"/>
      <c r="N146"/>
      <c r="S146" s="26"/>
    </row>
    <row r="147" spans="1:19" ht="12.75">
      <c r="A147" s="32"/>
      <c r="B147" s="32"/>
      <c r="C147"/>
      <c r="D147"/>
      <c r="E147"/>
      <c r="F147"/>
      <c r="G147"/>
      <c r="H147"/>
      <c r="I147"/>
      <c r="J147" s="27"/>
      <c r="K147" s="27"/>
      <c r="L147" s="30"/>
      <c r="N147"/>
      <c r="S147" s="26"/>
    </row>
    <row r="148" spans="1:19" ht="12.75">
      <c r="A148" s="27"/>
      <c r="B148" s="27"/>
      <c r="C148"/>
      <c r="D148"/>
      <c r="E148"/>
      <c r="F148"/>
      <c r="G148"/>
      <c r="H148"/>
      <c r="I148"/>
      <c r="J148" s="27"/>
      <c r="K148" s="27"/>
      <c r="L148" s="30"/>
      <c r="N148"/>
      <c r="S148" s="26"/>
    </row>
    <row r="149" spans="1:19" ht="12.75">
      <c r="A149" s="27"/>
      <c r="B149" s="27"/>
      <c r="C149"/>
      <c r="D149"/>
      <c r="E149"/>
      <c r="F149"/>
      <c r="G149"/>
      <c r="H149"/>
      <c r="I149"/>
      <c r="J149" s="27"/>
      <c r="K149" s="27"/>
      <c r="L149" s="30"/>
      <c r="N149"/>
      <c r="S149" s="26"/>
    </row>
    <row r="150" spans="8:14" ht="12.75">
      <c r="H150"/>
      <c r="I150"/>
      <c r="J150" s="27"/>
      <c r="K150" s="27"/>
      <c r="L150" s="30"/>
      <c r="N150"/>
    </row>
    <row r="151" spans="8:14" ht="12.75">
      <c r="H151"/>
      <c r="I151"/>
      <c r="J151" s="27"/>
      <c r="K151" s="27"/>
      <c r="L151" s="30"/>
      <c r="N151"/>
    </row>
  </sheetData>
  <sheetProtection password="D1A7" sheet="1"/>
  <mergeCells count="1">
    <mergeCell ref="A37:C38"/>
  </mergeCells>
  <hyperlinks>
    <hyperlink ref="M73" r:id="rId1" display="http://dot.alaska.gov/stwddes/dcsprecon/index.shtml"/>
    <hyperlink ref="E3:F3" r:id="rId2" display="..\Severity_Indices\1996RDG-AppA Severities mph_ft.pdf"/>
  </hyperlinks>
  <printOptions/>
  <pageMargins left="0.7" right="0.7" top="0.75" bottom="0.75" header="0.3" footer="0.3"/>
  <pageSetup fitToHeight="1" fitToWidth="1" horizontalDpi="600" verticalDpi="600" orientation="portrait" scale="6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U18" sqref="U18"/>
    </sheetView>
  </sheetViews>
  <sheetFormatPr defaultColWidth="9.00390625" defaultRowHeight="12.75"/>
  <cols>
    <col min="1" max="1" width="9.125" style="356" customWidth="1"/>
    <col min="2" max="2" width="6.50390625" style="356" customWidth="1"/>
    <col min="3" max="3" width="9.50390625" style="356" bestFit="1" customWidth="1"/>
    <col min="4" max="4" width="9.50390625" style="356" customWidth="1"/>
    <col min="5" max="5" width="4.625" style="356" customWidth="1"/>
    <col min="6" max="6" width="9.125" style="356" customWidth="1"/>
    <col min="7" max="7" width="4.125" style="0" customWidth="1"/>
    <col min="8" max="8" width="9.50390625" style="356" bestFit="1" customWidth="1"/>
    <col min="9" max="9" width="17.50390625" style="355" customWidth="1"/>
    <col min="10" max="10" width="9.125" style="356" customWidth="1"/>
    <col min="11" max="11" width="6.375" style="356" customWidth="1"/>
    <col min="12" max="12" width="9.50390625" style="356" bestFit="1" customWidth="1"/>
    <col min="13" max="13" width="9.50390625" style="356" customWidth="1"/>
    <col min="14" max="14" width="4.625" style="356" customWidth="1"/>
    <col min="15" max="15" width="9.125" style="356" customWidth="1"/>
    <col min="16" max="16" width="4.125" style="0" customWidth="1"/>
    <col min="17" max="17" width="9.50390625" style="356" bestFit="1" customWidth="1"/>
    <col min="18" max="18" width="17.50390625" style="355" customWidth="1"/>
    <col min="19" max="19" width="9.125" style="356" customWidth="1"/>
    <col min="20" max="20" width="6.375" style="356" customWidth="1"/>
    <col min="21" max="21" width="9.50390625" style="356" bestFit="1" customWidth="1"/>
    <col min="22" max="22" width="9.50390625" style="356" customWidth="1"/>
    <col min="23" max="23" width="4.625" style="356" customWidth="1"/>
    <col min="24" max="24" width="9.125" style="356" customWidth="1"/>
    <col min="25" max="25" width="4.125" style="0" customWidth="1"/>
    <col min="26" max="26" width="9.50390625" style="356" bestFit="1" customWidth="1"/>
    <col min="27" max="27" width="17.50390625" style="355" customWidth="1"/>
  </cols>
  <sheetData>
    <row r="1" spans="1:22" ht="14.25">
      <c r="A1" s="368" t="s">
        <v>248</v>
      </c>
      <c r="B1" s="369"/>
      <c r="C1" s="369"/>
      <c r="D1" s="370"/>
      <c r="J1" s="368" t="s">
        <v>248</v>
      </c>
      <c r="K1" s="366"/>
      <c r="L1" s="366"/>
      <c r="M1" s="366"/>
      <c r="S1" s="368" t="s">
        <v>253</v>
      </c>
      <c r="T1" s="366"/>
      <c r="U1" s="374" t="s">
        <v>254</v>
      </c>
      <c r="V1" s="366"/>
    </row>
    <row r="2" spans="1:24" ht="15" thickBot="1">
      <c r="A2" s="371" t="s">
        <v>249</v>
      </c>
      <c r="B2" s="372"/>
      <c r="C2" s="372"/>
      <c r="D2" s="373"/>
      <c r="F2" s="356" t="s">
        <v>239</v>
      </c>
      <c r="J2" s="371" t="s">
        <v>252</v>
      </c>
      <c r="K2" s="366"/>
      <c r="L2" s="366" t="s">
        <v>257</v>
      </c>
      <c r="M2" s="366"/>
      <c r="O2" s="356" t="s">
        <v>239</v>
      </c>
      <c r="S2" s="371" t="s">
        <v>249</v>
      </c>
      <c r="T2" s="366"/>
      <c r="U2" s="365" t="s">
        <v>256</v>
      </c>
      <c r="V2" s="366"/>
      <c r="X2" s="356" t="s">
        <v>239</v>
      </c>
    </row>
    <row r="3" spans="6:24" ht="15" thickBot="1">
      <c r="F3" s="364">
        <v>1500</v>
      </c>
      <c r="O3" s="364">
        <v>1500</v>
      </c>
      <c r="X3" s="364">
        <v>1500</v>
      </c>
    </row>
    <row r="4" spans="6:24" ht="12.75">
      <c r="F4" s="356" t="s">
        <v>246</v>
      </c>
      <c r="O4" s="356" t="s">
        <v>246</v>
      </c>
      <c r="X4" s="356" t="s">
        <v>246</v>
      </c>
    </row>
    <row r="5" spans="4:24" ht="12.75">
      <c r="D5" s="356" t="s">
        <v>251</v>
      </c>
      <c r="F5" s="356" t="s">
        <v>42</v>
      </c>
      <c r="M5" s="356" t="s">
        <v>251</v>
      </c>
      <c r="O5" s="356" t="s">
        <v>42</v>
      </c>
      <c r="V5" s="356" t="s">
        <v>251</v>
      </c>
      <c r="X5" s="356" t="s">
        <v>42</v>
      </c>
    </row>
    <row r="6" spans="1:26" ht="13.5" thickBot="1">
      <c r="A6" s="356" t="s">
        <v>238</v>
      </c>
      <c r="C6" s="356" t="s">
        <v>255</v>
      </c>
      <c r="D6" s="356" t="s">
        <v>236</v>
      </c>
      <c r="F6" s="356" t="s">
        <v>247</v>
      </c>
      <c r="H6" s="356" t="s">
        <v>250</v>
      </c>
      <c r="J6" s="356" t="s">
        <v>238</v>
      </c>
      <c r="L6" s="356" t="s">
        <v>255</v>
      </c>
      <c r="M6" s="356" t="s">
        <v>236</v>
      </c>
      <c r="O6" s="356" t="s">
        <v>247</v>
      </c>
      <c r="Q6" s="356" t="s">
        <v>250</v>
      </c>
      <c r="S6" s="356" t="s">
        <v>238</v>
      </c>
      <c r="U6" s="356" t="s">
        <v>255</v>
      </c>
      <c r="V6" s="356" t="s">
        <v>236</v>
      </c>
      <c r="X6" s="356" t="s">
        <v>247</v>
      </c>
      <c r="Z6" s="356" t="s">
        <v>250</v>
      </c>
    </row>
    <row r="7" spans="1:20" ht="15" thickBot="1">
      <c r="A7" s="364">
        <v>30</v>
      </c>
      <c r="B7" s="356" t="s">
        <v>77</v>
      </c>
      <c r="J7" s="364">
        <v>30</v>
      </c>
      <c r="K7" s="356" t="s">
        <v>77</v>
      </c>
      <c r="S7" s="364">
        <v>30</v>
      </c>
      <c r="T7" s="356" t="s">
        <v>77</v>
      </c>
    </row>
    <row r="8" spans="4:23" ht="13.5" thickBot="1">
      <c r="D8" s="358">
        <f>D9*3.28</f>
        <v>0</v>
      </c>
      <c r="E8" s="356" t="s">
        <v>84</v>
      </c>
      <c r="M8" s="358">
        <f>M9*3.28</f>
        <v>0</v>
      </c>
      <c r="N8" s="356" t="s">
        <v>84</v>
      </c>
      <c r="V8" s="358">
        <f>V9*3.28</f>
        <v>0.49199999999999994</v>
      </c>
      <c r="W8" s="356" t="s">
        <v>84</v>
      </c>
    </row>
    <row r="9" spans="4:24" ht="13.5" thickBot="1">
      <c r="D9" s="357">
        <v>0</v>
      </c>
      <c r="E9" s="356" t="s">
        <v>242</v>
      </c>
      <c r="F9" s="357">
        <v>0.1</v>
      </c>
      <c r="M9" s="357">
        <v>0</v>
      </c>
      <c r="N9" s="356" t="s">
        <v>242</v>
      </c>
      <c r="O9" s="357">
        <v>2.6</v>
      </c>
      <c r="V9" s="357">
        <v>0.15</v>
      </c>
      <c r="W9" s="356" t="s">
        <v>242</v>
      </c>
      <c r="X9" s="357">
        <v>1.1</v>
      </c>
    </row>
    <row r="10" ht="13.5" thickBot="1"/>
    <row r="11" spans="1:26" ht="13.5" thickBot="1">
      <c r="A11" s="362">
        <f>A7</f>
        <v>30</v>
      </c>
      <c r="B11" s="359" t="s">
        <v>77</v>
      </c>
      <c r="C11" s="357">
        <v>0.5</v>
      </c>
      <c r="D11" s="356" t="s">
        <v>84</v>
      </c>
      <c r="H11" s="363">
        <f>F15-(F15-F9)*((D14-C11)/(D14-D8))</f>
        <v>1.3703252032520328</v>
      </c>
      <c r="J11" s="362">
        <f>J7</f>
        <v>30</v>
      </c>
      <c r="K11" s="359" t="s">
        <v>77</v>
      </c>
      <c r="L11" s="357">
        <v>0.5</v>
      </c>
      <c r="M11" s="356" t="s">
        <v>84</v>
      </c>
      <c r="Q11" s="363">
        <f>O15-(O15-O9)*((M14-L11)/(M14-M8))</f>
        <v>2.904878048780488</v>
      </c>
      <c r="S11" s="362">
        <f>S7</f>
        <v>30</v>
      </c>
      <c r="T11" s="359" t="s">
        <v>77</v>
      </c>
      <c r="U11" s="357">
        <v>0.5</v>
      </c>
      <c r="V11" s="356" t="s">
        <v>84</v>
      </c>
      <c r="Z11" s="363">
        <f>X15-(X15-X9)*((V14-U11)/(V14-V8))</f>
        <v>1.1243902439024391</v>
      </c>
    </row>
    <row r="12" spans="1:22" ht="12.75">
      <c r="A12" s="360">
        <f>ROUND(A11*(5280/3.28/1000),-1)</f>
        <v>50</v>
      </c>
      <c r="B12" s="356" t="s">
        <v>245</v>
      </c>
      <c r="C12" s="358">
        <f>C11/3.28</f>
        <v>0.1524390243902439</v>
      </c>
      <c r="D12" s="361" t="s">
        <v>242</v>
      </c>
      <c r="J12" s="360">
        <f>ROUND(J11*(5280/3.28/1000),-1)</f>
        <v>50</v>
      </c>
      <c r="K12" s="356" t="s">
        <v>245</v>
      </c>
      <c r="L12" s="358">
        <f>L11/3.28</f>
        <v>0.1524390243902439</v>
      </c>
      <c r="M12" s="361" t="s">
        <v>242</v>
      </c>
      <c r="S12" s="360">
        <f>ROUND(S11*(5280/3.28/1000),-1)</f>
        <v>50</v>
      </c>
      <c r="T12" s="356" t="s">
        <v>245</v>
      </c>
      <c r="U12" s="358">
        <f>U11/3.28</f>
        <v>0.1524390243902439</v>
      </c>
      <c r="V12" s="361" t="s">
        <v>242</v>
      </c>
    </row>
    <row r="14" spans="4:23" ht="13.5" thickBot="1">
      <c r="D14" s="358">
        <f>D15*3.28</f>
        <v>0.9839999999999999</v>
      </c>
      <c r="E14" s="356" t="s">
        <v>84</v>
      </c>
      <c r="M14" s="358">
        <f>M15*3.28</f>
        <v>0.9839999999999999</v>
      </c>
      <c r="N14" s="356" t="s">
        <v>84</v>
      </c>
      <c r="V14" s="358">
        <f>V15*3.28</f>
        <v>0.9839999999999999</v>
      </c>
      <c r="W14" s="356" t="s">
        <v>84</v>
      </c>
    </row>
    <row r="15" spans="4:24" ht="13.5" thickBot="1">
      <c r="D15" s="357">
        <v>0.3</v>
      </c>
      <c r="E15" s="356" t="s">
        <v>242</v>
      </c>
      <c r="F15" s="357">
        <v>2.6</v>
      </c>
      <c r="M15" s="357">
        <v>0.3</v>
      </c>
      <c r="N15" s="356" t="s">
        <v>242</v>
      </c>
      <c r="O15" s="357">
        <v>3.2</v>
      </c>
      <c r="V15" s="357">
        <v>0.3</v>
      </c>
      <c r="W15" s="356" t="s">
        <v>242</v>
      </c>
      <c r="X15" s="357">
        <v>2.6</v>
      </c>
    </row>
    <row r="16" ht="13.5" thickBot="1"/>
    <row r="17" spans="1:26" ht="15" thickBot="1">
      <c r="A17" s="362">
        <f>A11</f>
        <v>30</v>
      </c>
      <c r="B17" s="359" t="s">
        <v>77</v>
      </c>
      <c r="C17" s="357">
        <v>6</v>
      </c>
      <c r="D17" s="356" t="s">
        <v>84</v>
      </c>
      <c r="H17" s="363">
        <f>F21-(F21-F15)*((D20-C17)/(D20-D14))</f>
        <v>3.67948350071736</v>
      </c>
      <c r="J17" s="362">
        <f>J11</f>
        <v>30</v>
      </c>
      <c r="K17" s="359" t="s">
        <v>77</v>
      </c>
      <c r="L17" s="357">
        <v>6</v>
      </c>
      <c r="M17" s="356" t="s">
        <v>84</v>
      </c>
      <c r="Q17" s="363">
        <f>O21-(O21-O15)*((M20-L17)/(M20-M14))</f>
        <v>4.279483500717361</v>
      </c>
      <c r="S17" s="362">
        <f>S11</f>
        <v>30</v>
      </c>
      <c r="T17" s="359" t="s">
        <v>77</v>
      </c>
      <c r="U17" s="367">
        <v>8</v>
      </c>
      <c r="V17" s="356" t="s">
        <v>84</v>
      </c>
      <c r="Z17" s="363">
        <f>X21-(X21-X15)*((V20-U17)/(V20-V14))</f>
        <v>3.354949784791966</v>
      </c>
    </row>
    <row r="18" spans="1:22" ht="12.75">
      <c r="A18" s="360">
        <f>ROUND(A17*(5280/3.28/1000),-1)</f>
        <v>50</v>
      </c>
      <c r="B18" s="356" t="s">
        <v>245</v>
      </c>
      <c r="C18" s="358">
        <f>C17/3.28</f>
        <v>1.829268292682927</v>
      </c>
      <c r="D18" s="361" t="s">
        <v>242</v>
      </c>
      <c r="J18" s="360">
        <f>J23</f>
        <v>30</v>
      </c>
      <c r="K18" s="356" t="s">
        <v>245</v>
      </c>
      <c r="L18" s="358">
        <f>L17/3.28</f>
        <v>1.829268292682927</v>
      </c>
      <c r="M18" s="361" t="s">
        <v>242</v>
      </c>
      <c r="S18" s="360">
        <f>S23</f>
        <v>30</v>
      </c>
      <c r="T18" s="356" t="s">
        <v>245</v>
      </c>
      <c r="U18" s="358">
        <f>U17/3.28</f>
        <v>2.4390243902439024</v>
      </c>
      <c r="V18" s="361" t="s">
        <v>242</v>
      </c>
    </row>
    <row r="20" spans="4:23" ht="13.5" thickBot="1">
      <c r="D20" s="358">
        <f>D21*3.28</f>
        <v>6.56</v>
      </c>
      <c r="E20" s="356" t="s">
        <v>84</v>
      </c>
      <c r="M20" s="358">
        <f>M21*3.28</f>
        <v>6.56</v>
      </c>
      <c r="N20" s="356" t="s">
        <v>84</v>
      </c>
      <c r="V20" s="358">
        <f>V21*3.28</f>
        <v>6.56</v>
      </c>
      <c r="W20" s="356" t="s">
        <v>84</v>
      </c>
    </row>
    <row r="21" spans="4:24" ht="13.5" thickBot="1">
      <c r="D21" s="357">
        <v>2</v>
      </c>
      <c r="E21" s="356" t="s">
        <v>242</v>
      </c>
      <c r="F21" s="357">
        <v>3.8</v>
      </c>
      <c r="M21" s="357">
        <v>2</v>
      </c>
      <c r="N21" s="356" t="s">
        <v>242</v>
      </c>
      <c r="O21" s="357">
        <v>4.4</v>
      </c>
      <c r="V21" s="357">
        <v>2</v>
      </c>
      <c r="W21" s="356" t="s">
        <v>242</v>
      </c>
      <c r="X21" s="357">
        <v>3.2</v>
      </c>
    </row>
    <row r="22" ht="13.5" thickBot="1"/>
    <row r="23" spans="1:26" ht="15" thickBot="1">
      <c r="A23" s="362">
        <f>A7</f>
        <v>30</v>
      </c>
      <c r="B23" s="359" t="s">
        <v>77</v>
      </c>
      <c r="C23" s="367">
        <v>8</v>
      </c>
      <c r="D23" s="356" t="s">
        <v>84</v>
      </c>
      <c r="H23" s="363">
        <f>F27-(F27-F21)*((D26-C23)/(D26-D20))</f>
        <v>4.217073170731707</v>
      </c>
      <c r="J23" s="362">
        <f>J7</f>
        <v>30</v>
      </c>
      <c r="K23" s="359" t="s">
        <v>77</v>
      </c>
      <c r="L23" s="367">
        <v>8</v>
      </c>
      <c r="M23" s="356" t="s">
        <v>84</v>
      </c>
      <c r="Q23" s="363">
        <f>O27-(O27-O21)*((M26-L23)/(M26-M20))</f>
        <v>4.685365853658537</v>
      </c>
      <c r="S23" s="362">
        <f>S7</f>
        <v>30</v>
      </c>
      <c r="T23" s="359" t="s">
        <v>77</v>
      </c>
      <c r="U23" s="367">
        <v>11</v>
      </c>
      <c r="V23" s="356" t="s">
        <v>84</v>
      </c>
      <c r="Z23" s="363">
        <f>X27-(X27-X21)*((V26-U23)/(V26-V20))</f>
        <v>3.6060975609756096</v>
      </c>
    </row>
    <row r="24" spans="1:22" ht="12.75">
      <c r="A24" s="360">
        <f>ROUND(A23*(5280/3.28/1000),-1)</f>
        <v>50</v>
      </c>
      <c r="B24" s="356" t="s">
        <v>245</v>
      </c>
      <c r="C24" s="358">
        <f>C23/3.28</f>
        <v>2.4390243902439024</v>
      </c>
      <c r="D24" s="361" t="s">
        <v>242</v>
      </c>
      <c r="J24" s="360">
        <f>ROUND(J23*(5280/3.28/1000),-1)</f>
        <v>50</v>
      </c>
      <c r="K24" s="356" t="s">
        <v>245</v>
      </c>
      <c r="L24" s="358">
        <f>L23/3.28</f>
        <v>2.4390243902439024</v>
      </c>
      <c r="M24" s="361" t="s">
        <v>242</v>
      </c>
      <c r="S24" s="360">
        <f>ROUND(S23*(5280/3.28/1000),-1)</f>
        <v>50</v>
      </c>
      <c r="T24" s="356" t="s">
        <v>245</v>
      </c>
      <c r="U24" s="358">
        <f>U23/3.28</f>
        <v>3.353658536585366</v>
      </c>
      <c r="V24" s="361" t="s">
        <v>242</v>
      </c>
    </row>
    <row r="26" spans="4:23" ht="13.5" thickBot="1">
      <c r="D26" s="358">
        <f>D27*3.28</f>
        <v>13.12</v>
      </c>
      <c r="E26" s="356" t="s">
        <v>84</v>
      </c>
      <c r="M26" s="358">
        <f>M27*3.28</f>
        <v>13.12</v>
      </c>
      <c r="N26" s="356" t="s">
        <v>84</v>
      </c>
      <c r="V26" s="358">
        <f>V27*3.28</f>
        <v>13.12</v>
      </c>
      <c r="W26" s="356" t="s">
        <v>84</v>
      </c>
    </row>
    <row r="27" spans="4:24" ht="13.5" thickBot="1">
      <c r="D27" s="357">
        <v>4</v>
      </c>
      <c r="E27" s="356" t="s">
        <v>242</v>
      </c>
      <c r="F27" s="357">
        <v>5.7</v>
      </c>
      <c r="M27" s="357">
        <v>4</v>
      </c>
      <c r="N27" s="356" t="s">
        <v>242</v>
      </c>
      <c r="O27" s="357">
        <v>5.7</v>
      </c>
      <c r="V27" s="357">
        <v>4</v>
      </c>
      <c r="W27" s="356" t="s">
        <v>242</v>
      </c>
      <c r="X27" s="357">
        <v>3.8</v>
      </c>
    </row>
    <row r="28" ht="13.5" thickBot="1"/>
    <row r="29" spans="1:26" ht="15" thickBot="1">
      <c r="A29" s="362">
        <f>A7</f>
        <v>30</v>
      </c>
      <c r="B29" s="359" t="s">
        <v>77</v>
      </c>
      <c r="C29" s="367">
        <v>17</v>
      </c>
      <c r="D29" s="356" t="s">
        <v>84</v>
      </c>
      <c r="H29" s="363">
        <f>F33-(F33-F27)*((D32-C29)/(D32-D26))</f>
        <v>6.232317073170732</v>
      </c>
      <c r="J29" s="362">
        <f>J7</f>
        <v>30</v>
      </c>
      <c r="K29" s="359" t="s">
        <v>77</v>
      </c>
      <c r="L29" s="357">
        <v>18</v>
      </c>
      <c r="M29" s="356" t="s">
        <v>84</v>
      </c>
      <c r="Q29" s="363">
        <f>O33-(O33-O27)*((M32-L29)/(M32-M26))</f>
        <v>6.5182926829268295</v>
      </c>
      <c r="S29" s="362">
        <f>S7</f>
        <v>30</v>
      </c>
      <c r="T29" s="359" t="s">
        <v>77</v>
      </c>
      <c r="U29" s="367">
        <v>17</v>
      </c>
      <c r="V29" s="356" t="s">
        <v>84</v>
      </c>
      <c r="Z29" s="363">
        <f>X33-(X33-X27)*((V32-U29)/(V32-V26))</f>
        <v>4.3323170731707314</v>
      </c>
    </row>
    <row r="30" spans="1:26" ht="12.75">
      <c r="A30" s="360">
        <f>ROUND(A29*(5280/3.28/1000),-1)</f>
        <v>50</v>
      </c>
      <c r="B30" s="356" t="s">
        <v>245</v>
      </c>
      <c r="C30" s="358">
        <f>C29/3.28</f>
        <v>5.182926829268293</v>
      </c>
      <c r="D30" s="361" t="s">
        <v>242</v>
      </c>
      <c r="H30"/>
      <c r="J30" s="360">
        <f>ROUND(J29*(5280/3.28/1000),-1)</f>
        <v>50</v>
      </c>
      <c r="K30" s="356" t="s">
        <v>245</v>
      </c>
      <c r="L30" s="358">
        <f>L29/3.28</f>
        <v>5.487804878048781</v>
      </c>
      <c r="M30" s="361" t="s">
        <v>242</v>
      </c>
      <c r="Q30"/>
      <c r="S30" s="360">
        <f>ROUND(S29*(5280/3.28/1000),-1)</f>
        <v>50</v>
      </c>
      <c r="T30" s="356" t="s">
        <v>245</v>
      </c>
      <c r="U30" s="358">
        <f>U29/3.28</f>
        <v>5.182926829268293</v>
      </c>
      <c r="V30" s="361" t="s">
        <v>242</v>
      </c>
      <c r="Z30"/>
    </row>
    <row r="32" spans="4:23" ht="13.5" thickBot="1">
      <c r="D32" s="358">
        <f>D33*3.28</f>
        <v>19.68</v>
      </c>
      <c r="E32" s="356" t="s">
        <v>84</v>
      </c>
      <c r="M32" s="358">
        <f>M33*3.28</f>
        <v>19.68</v>
      </c>
      <c r="N32" s="356" t="s">
        <v>84</v>
      </c>
      <c r="V32" s="358">
        <f>V33*3.28</f>
        <v>19.68</v>
      </c>
      <c r="W32" s="356" t="s">
        <v>84</v>
      </c>
    </row>
    <row r="33" spans="4:24" ht="13.5" thickBot="1">
      <c r="D33" s="357">
        <v>6</v>
      </c>
      <c r="E33" s="356" t="s">
        <v>242</v>
      </c>
      <c r="F33" s="357">
        <v>6.6</v>
      </c>
      <c r="M33" s="357">
        <v>6</v>
      </c>
      <c r="N33" s="356" t="s">
        <v>242</v>
      </c>
      <c r="O33" s="357">
        <v>6.8</v>
      </c>
      <c r="V33" s="357">
        <v>6</v>
      </c>
      <c r="W33" s="356" t="s">
        <v>242</v>
      </c>
      <c r="X33" s="357">
        <v>4.7</v>
      </c>
    </row>
    <row r="34" ht="13.5" thickBot="1"/>
    <row r="35" spans="1:26" ht="13.5" thickBot="1">
      <c r="A35" s="362">
        <f>A7</f>
        <v>30</v>
      </c>
      <c r="B35" s="359" t="s">
        <v>77</v>
      </c>
      <c r="C35" s="357">
        <v>20</v>
      </c>
      <c r="D35" s="356" t="s">
        <v>84</v>
      </c>
      <c r="H35" s="363">
        <f>F39-(F39-F33)*((D38-C35)/(D38-D32))</f>
        <v>6.639024390243902</v>
      </c>
      <c r="J35" s="362">
        <f>J7</f>
        <v>30</v>
      </c>
      <c r="K35" s="359" t="s">
        <v>77</v>
      </c>
      <c r="L35" s="357">
        <v>20</v>
      </c>
      <c r="M35" s="356" t="s">
        <v>84</v>
      </c>
      <c r="Q35" s="363">
        <f>O39-(O39-O33)*((M38-L35)/(M38-M32))</f>
        <v>6.848780487804878</v>
      </c>
      <c r="S35" s="362">
        <f>S7</f>
        <v>30</v>
      </c>
      <c r="T35" s="359" t="s">
        <v>77</v>
      </c>
      <c r="U35" s="357">
        <v>20</v>
      </c>
      <c r="V35" s="356" t="s">
        <v>84</v>
      </c>
      <c r="Z35" s="363">
        <f>X39-(X39-X33)*((V38-U35)/(V38-V32))</f>
        <v>4.739024390243903</v>
      </c>
    </row>
    <row r="36" spans="1:22" ht="12.75">
      <c r="A36" s="360">
        <f>ROUND(A35*(5280/3.28/1000),-1)</f>
        <v>50</v>
      </c>
      <c r="B36" s="356" t="s">
        <v>245</v>
      </c>
      <c r="C36" s="358">
        <f>C35/3.28</f>
        <v>6.097560975609756</v>
      </c>
      <c r="D36" s="361" t="s">
        <v>242</v>
      </c>
      <c r="J36" s="360">
        <f>ROUND(J35*(5280/3.28/1000),-1)</f>
        <v>50</v>
      </c>
      <c r="K36" s="356" t="s">
        <v>245</v>
      </c>
      <c r="L36" s="358">
        <f>L35/3.28</f>
        <v>6.097560975609756</v>
      </c>
      <c r="M36" s="361" t="s">
        <v>242</v>
      </c>
      <c r="S36" s="360">
        <f>ROUND(S35*(5280/3.28/1000),-1)</f>
        <v>50</v>
      </c>
      <c r="T36" s="356" t="s">
        <v>245</v>
      </c>
      <c r="U36" s="358">
        <f>U35/3.28</f>
        <v>6.097560975609756</v>
      </c>
      <c r="V36" s="361" t="s">
        <v>242</v>
      </c>
    </row>
    <row r="38" spans="4:23" ht="13.5" thickBot="1">
      <c r="D38" s="358">
        <f>D39*3.28</f>
        <v>26.24</v>
      </c>
      <c r="E38" s="356" t="s">
        <v>84</v>
      </c>
      <c r="M38" s="358">
        <f>M39*3.28</f>
        <v>26.24</v>
      </c>
      <c r="N38" s="356" t="s">
        <v>84</v>
      </c>
      <c r="V38" s="358">
        <f>V39*3.28</f>
        <v>26.24</v>
      </c>
      <c r="W38" s="356" t="s">
        <v>84</v>
      </c>
    </row>
    <row r="39" spans="4:24" ht="13.5" thickBot="1">
      <c r="D39" s="357">
        <v>8</v>
      </c>
      <c r="E39" s="356" t="s">
        <v>242</v>
      </c>
      <c r="F39" s="357">
        <v>7.4</v>
      </c>
      <c r="M39" s="357">
        <v>8</v>
      </c>
      <c r="N39" s="356" t="s">
        <v>242</v>
      </c>
      <c r="O39" s="357">
        <v>7.8</v>
      </c>
      <c r="V39" s="357">
        <v>8</v>
      </c>
      <c r="W39" s="356" t="s">
        <v>242</v>
      </c>
      <c r="X39" s="357">
        <v>5.5</v>
      </c>
    </row>
    <row r="40" ht="13.5" thickBot="1"/>
    <row r="41" spans="1:26" ht="15" thickBot="1">
      <c r="A41" s="362">
        <f>A35</f>
        <v>30</v>
      </c>
      <c r="B41" s="359" t="s">
        <v>77</v>
      </c>
      <c r="C41" s="367">
        <v>31</v>
      </c>
      <c r="D41" s="356" t="s">
        <v>84</v>
      </c>
      <c r="H41" s="363">
        <f>F45-(F45-F39)*((D44-C41)/(D44-D38))</f>
        <v>8.270731707317074</v>
      </c>
      <c r="J41" s="362">
        <f>J35</f>
        <v>30</v>
      </c>
      <c r="K41" s="359" t="s">
        <v>77</v>
      </c>
      <c r="L41" s="357">
        <v>30</v>
      </c>
      <c r="M41" s="356" t="s">
        <v>84</v>
      </c>
      <c r="Q41" s="363">
        <f>O45-(O45-O39)*((M44-L41)/(M44-M38))</f>
        <v>8.029268292682927</v>
      </c>
      <c r="S41" s="362">
        <f>S35</f>
        <v>30</v>
      </c>
      <c r="T41" s="359" t="s">
        <v>77</v>
      </c>
      <c r="U41" s="367">
        <v>31</v>
      </c>
      <c r="V41" s="356" t="s">
        <v>84</v>
      </c>
      <c r="Z41" s="363">
        <f>X45-(X45-X39)*((V44-U41)/(V44-V38))</f>
        <v>6.153048780487805</v>
      </c>
    </row>
    <row r="42" spans="1:22" ht="12.75">
      <c r="A42" s="360">
        <f>A47</f>
        <v>30</v>
      </c>
      <c r="B42" s="356" t="s">
        <v>245</v>
      </c>
      <c r="C42" s="358">
        <f>C41/3.28</f>
        <v>9.451219512195122</v>
      </c>
      <c r="D42" s="361" t="s">
        <v>242</v>
      </c>
      <c r="J42" s="360">
        <f>J47</f>
        <v>30</v>
      </c>
      <c r="K42" s="356" t="s">
        <v>245</v>
      </c>
      <c r="L42" s="358">
        <f>L41/3.28</f>
        <v>9.146341463414634</v>
      </c>
      <c r="M42" s="361" t="s">
        <v>242</v>
      </c>
      <c r="S42" s="360">
        <f>S47</f>
        <v>30</v>
      </c>
      <c r="T42" s="356" t="s">
        <v>245</v>
      </c>
      <c r="U42" s="358">
        <f>U41/3.28</f>
        <v>9.451219512195122</v>
      </c>
      <c r="V42" s="361" t="s">
        <v>242</v>
      </c>
    </row>
    <row r="44" spans="4:23" ht="13.5" thickBot="1">
      <c r="D44" s="358">
        <f>D45*3.28</f>
        <v>32.8</v>
      </c>
      <c r="E44" s="356" t="s">
        <v>84</v>
      </c>
      <c r="M44" s="358">
        <f>M45*3.28</f>
        <v>32.8</v>
      </c>
      <c r="N44" s="356" t="s">
        <v>84</v>
      </c>
      <c r="V44" s="358">
        <f>V45*3.28</f>
        <v>32.8</v>
      </c>
      <c r="W44" s="356" t="s">
        <v>84</v>
      </c>
    </row>
    <row r="45" spans="4:24" ht="13.5" thickBot="1">
      <c r="D45" s="357">
        <v>10</v>
      </c>
      <c r="E45" s="356" t="s">
        <v>242</v>
      </c>
      <c r="F45" s="357">
        <v>8.6</v>
      </c>
      <c r="M45" s="357">
        <v>10</v>
      </c>
      <c r="N45" s="356" t="s">
        <v>242</v>
      </c>
      <c r="O45" s="357">
        <v>8.2</v>
      </c>
      <c r="V45" s="357">
        <v>10</v>
      </c>
      <c r="W45" s="356" t="s">
        <v>242</v>
      </c>
      <c r="X45" s="357">
        <v>6.4</v>
      </c>
    </row>
    <row r="46" ht="13.5" thickBot="1"/>
    <row r="47" spans="1:26" ht="15" thickBot="1">
      <c r="A47" s="362">
        <f>A7</f>
        <v>30</v>
      </c>
      <c r="B47" s="359" t="s">
        <v>77</v>
      </c>
      <c r="C47" s="367">
        <v>35</v>
      </c>
      <c r="D47" s="356" t="s">
        <v>84</v>
      </c>
      <c r="H47" s="363">
        <f>F51-(F51-F45)*((D50-C47)/(D50-D44))</f>
        <v>8.75091463414634</v>
      </c>
      <c r="J47" s="362">
        <f>J7</f>
        <v>30</v>
      </c>
      <c r="K47" s="359" t="s">
        <v>77</v>
      </c>
      <c r="L47" s="357">
        <v>40</v>
      </c>
      <c r="M47" s="356" t="s">
        <v>84</v>
      </c>
      <c r="Q47" s="363">
        <f>O51-(O51-O45)*((M50-L47)/(M50-M44))</f>
        <v>8.96829268292683</v>
      </c>
      <c r="S47" s="362">
        <f>S7</f>
        <v>30</v>
      </c>
      <c r="T47" s="359" t="s">
        <v>77</v>
      </c>
      <c r="U47" s="367">
        <v>35</v>
      </c>
      <c r="V47" s="356" t="s">
        <v>84</v>
      </c>
      <c r="Z47" s="363">
        <f>X51-(X51-X45)*((V50-U47)/(V50-V44))</f>
        <v>6.517378048780488</v>
      </c>
    </row>
    <row r="48" spans="1:22" ht="12.75">
      <c r="A48" s="360">
        <f>ROUND(A47*(5280/3.28/1000),-1)</f>
        <v>50</v>
      </c>
      <c r="B48" s="356" t="s">
        <v>245</v>
      </c>
      <c r="C48" s="358">
        <f>C47/3.28</f>
        <v>10.670731707317074</v>
      </c>
      <c r="D48" s="361" t="s">
        <v>242</v>
      </c>
      <c r="J48" s="360">
        <f>ROUND(J47*(5280/3.28/1000),-1)</f>
        <v>50</v>
      </c>
      <c r="K48" s="356" t="s">
        <v>245</v>
      </c>
      <c r="L48" s="358">
        <f>L47/3.28</f>
        <v>12.195121951219512</v>
      </c>
      <c r="M48" s="361" t="s">
        <v>242</v>
      </c>
      <c r="S48" s="360">
        <f>ROUND(S47*(5280/3.28/1000),-1)</f>
        <v>50</v>
      </c>
      <c r="T48" s="356" t="s">
        <v>245</v>
      </c>
      <c r="U48" s="358">
        <f>U47/3.28</f>
        <v>10.670731707317074</v>
      </c>
      <c r="V48" s="361" t="s">
        <v>242</v>
      </c>
    </row>
    <row r="50" spans="4:23" ht="13.5" thickBot="1">
      <c r="D50" s="358">
        <f>D51*3.28</f>
        <v>45.919999999999995</v>
      </c>
      <c r="E50" s="356" t="s">
        <v>84</v>
      </c>
      <c r="M50" s="358">
        <f>M51*3.28</f>
        <v>45.919999999999995</v>
      </c>
      <c r="N50" s="356" t="s">
        <v>84</v>
      </c>
      <c r="V50" s="358">
        <f>V51*3.28</f>
        <v>45.919999999999995</v>
      </c>
      <c r="W50" s="356" t="s">
        <v>84</v>
      </c>
    </row>
    <row r="51" spans="4:24" ht="13.5" thickBot="1">
      <c r="D51" s="357">
        <v>14</v>
      </c>
      <c r="E51" s="356" t="s">
        <v>242</v>
      </c>
      <c r="F51" s="357">
        <v>9.5</v>
      </c>
      <c r="M51" s="357">
        <v>14</v>
      </c>
      <c r="N51" s="356" t="s">
        <v>242</v>
      </c>
      <c r="O51" s="357">
        <v>9.6</v>
      </c>
      <c r="V51" s="357">
        <v>14</v>
      </c>
      <c r="W51" s="356" t="s">
        <v>242</v>
      </c>
      <c r="X51" s="357">
        <v>7.1</v>
      </c>
    </row>
    <row r="52" ht="13.5" thickBot="1"/>
    <row r="53" spans="1:26" ht="13.5" thickBot="1">
      <c r="A53" s="362">
        <f>A7</f>
        <v>30</v>
      </c>
      <c r="B53" s="359" t="s">
        <v>77</v>
      </c>
      <c r="C53" s="357">
        <v>50</v>
      </c>
      <c r="D53" s="356" t="s">
        <v>84</v>
      </c>
      <c r="H53" s="363">
        <f>F57-(F57-F51)*((D56-C53)/(D56-D50))</f>
        <v>9.62439024390244</v>
      </c>
      <c r="J53" s="362">
        <f>J7</f>
        <v>30</v>
      </c>
      <c r="K53" s="359" t="s">
        <v>77</v>
      </c>
      <c r="L53" s="357">
        <v>50</v>
      </c>
      <c r="M53" s="356" t="s">
        <v>84</v>
      </c>
      <c r="Q53" s="363">
        <f>O57-(O57-O51)*((M56-L53)/(M56-M50))</f>
        <v>9.72439024390244</v>
      </c>
      <c r="S53" s="362">
        <f>S7</f>
        <v>30</v>
      </c>
      <c r="T53" s="359" t="s">
        <v>77</v>
      </c>
      <c r="U53" s="357">
        <v>50</v>
      </c>
      <c r="V53" s="356" t="s">
        <v>84</v>
      </c>
      <c r="Z53" s="363">
        <f>X57-(X57-X51)*((V56-U53)/(V56-V50))</f>
        <v>7.255487804878048</v>
      </c>
    </row>
    <row r="54" spans="1:22" ht="12.75">
      <c r="A54" s="360">
        <f>ROUND(A53*(5280/3.28/1000),-1)</f>
        <v>50</v>
      </c>
      <c r="B54" s="356" t="s">
        <v>245</v>
      </c>
      <c r="C54" s="358">
        <f>C53/3.28</f>
        <v>15.24390243902439</v>
      </c>
      <c r="D54" s="361" t="s">
        <v>242</v>
      </c>
      <c r="J54" s="360">
        <f>ROUND(J53*(5280/3.28/1000),-1)</f>
        <v>50</v>
      </c>
      <c r="K54" s="356" t="s">
        <v>245</v>
      </c>
      <c r="L54" s="358">
        <f>L53/3.28</f>
        <v>15.24390243902439</v>
      </c>
      <c r="M54" s="361" t="s">
        <v>242</v>
      </c>
      <c r="S54" s="360">
        <f>ROUND(S53*(5280/3.28/1000),-1)</f>
        <v>50</v>
      </c>
      <c r="T54" s="356" t="s">
        <v>245</v>
      </c>
      <c r="U54" s="358">
        <f>U53/3.28</f>
        <v>15.24390243902439</v>
      </c>
      <c r="V54" s="361" t="s">
        <v>242</v>
      </c>
    </row>
    <row r="56" spans="4:23" ht="13.5" thickBot="1">
      <c r="D56" s="358">
        <f>D57*3.28</f>
        <v>59.04</v>
      </c>
      <c r="E56" s="356" t="s">
        <v>84</v>
      </c>
      <c r="M56" s="358">
        <f>M57*3.28</f>
        <v>59.04</v>
      </c>
      <c r="N56" s="356" t="s">
        <v>84</v>
      </c>
      <c r="V56" s="358">
        <f>V57*3.28</f>
        <v>59.04</v>
      </c>
      <c r="W56" s="356" t="s">
        <v>84</v>
      </c>
    </row>
    <row r="57" spans="4:24" ht="13.5" thickBot="1">
      <c r="D57" s="357">
        <v>18</v>
      </c>
      <c r="E57" s="356" t="s">
        <v>242</v>
      </c>
      <c r="F57" s="357">
        <v>9.9</v>
      </c>
      <c r="M57" s="357">
        <v>18</v>
      </c>
      <c r="N57" s="356" t="s">
        <v>242</v>
      </c>
      <c r="O57" s="357">
        <v>10</v>
      </c>
      <c r="V57" s="357">
        <v>18</v>
      </c>
      <c r="W57" s="356" t="s">
        <v>242</v>
      </c>
      <c r="X57" s="357">
        <v>7.6</v>
      </c>
    </row>
    <row r="58" ht="13.5" thickBot="1"/>
    <row r="59" spans="1:26" ht="13.5" thickBot="1">
      <c r="A59" s="362">
        <f>A7</f>
        <v>30</v>
      </c>
      <c r="B59" s="359" t="s">
        <v>77</v>
      </c>
      <c r="C59" s="357">
        <v>70</v>
      </c>
      <c r="D59" s="356" t="s">
        <v>84</v>
      </c>
      <c r="H59" s="363">
        <f>F63-(F63-F57)*((D62-C59)/(D62-D56))</f>
        <v>9.983536585365854</v>
      </c>
      <c r="J59" s="362">
        <f>J7</f>
        <v>30</v>
      </c>
      <c r="K59" s="359" t="s">
        <v>77</v>
      </c>
      <c r="L59" s="357">
        <v>70</v>
      </c>
      <c r="M59" s="356" t="s">
        <v>84</v>
      </c>
      <c r="Q59" s="363">
        <f>O63-(O63-O57)*((M62-L59)/(M62-M56))</f>
        <v>10</v>
      </c>
      <c r="S59" s="362">
        <f>S7</f>
        <v>30</v>
      </c>
      <c r="T59" s="359" t="s">
        <v>77</v>
      </c>
      <c r="U59" s="357">
        <v>70</v>
      </c>
      <c r="V59" s="356" t="s">
        <v>84</v>
      </c>
      <c r="Z59" s="363">
        <f>X63-(X63-X57)*((V62-U59)/(V62-V56))</f>
        <v>7.683536585365854</v>
      </c>
    </row>
    <row r="60" spans="1:22" ht="12.75">
      <c r="A60" s="360">
        <f>ROUND(A59*(5280/3.28/1000),-1)</f>
        <v>50</v>
      </c>
      <c r="B60" s="356" t="s">
        <v>245</v>
      </c>
      <c r="C60" s="358">
        <f>C59/3.28</f>
        <v>21.34146341463415</v>
      </c>
      <c r="D60" s="361" t="s">
        <v>242</v>
      </c>
      <c r="J60" s="360">
        <f>ROUND(J59*(5280/3.28/1000),-1)</f>
        <v>50</v>
      </c>
      <c r="K60" s="356" t="s">
        <v>245</v>
      </c>
      <c r="L60" s="358">
        <f>L59/3.28</f>
        <v>21.34146341463415</v>
      </c>
      <c r="M60" s="361" t="s">
        <v>242</v>
      </c>
      <c r="S60" s="360">
        <f>ROUND(S59*(5280/3.28/1000),-1)</f>
        <v>50</v>
      </c>
      <c r="T60" s="356" t="s">
        <v>245</v>
      </c>
      <c r="U60" s="358">
        <f>U59/3.28</f>
        <v>21.34146341463415</v>
      </c>
      <c r="V60" s="361" t="s">
        <v>242</v>
      </c>
    </row>
    <row r="62" spans="4:23" ht="13.5" thickBot="1">
      <c r="D62" s="358">
        <f>D63*3.28</f>
        <v>72.16</v>
      </c>
      <c r="E62" s="356" t="s">
        <v>84</v>
      </c>
      <c r="M62" s="358">
        <f>M63*3.28</f>
        <v>72.16</v>
      </c>
      <c r="N62" s="356" t="s">
        <v>84</v>
      </c>
      <c r="V62" s="358">
        <f>V63*3.28</f>
        <v>72.16</v>
      </c>
      <c r="W62" s="356" t="s">
        <v>84</v>
      </c>
    </row>
    <row r="63" spans="4:24" ht="13.5" thickBot="1">
      <c r="D63" s="357">
        <v>22</v>
      </c>
      <c r="E63" s="356" t="s">
        <v>242</v>
      </c>
      <c r="F63" s="357">
        <v>10</v>
      </c>
      <c r="M63" s="357">
        <v>22</v>
      </c>
      <c r="N63" s="356" t="s">
        <v>242</v>
      </c>
      <c r="O63" s="357">
        <v>10</v>
      </c>
      <c r="V63" s="357">
        <v>22</v>
      </c>
      <c r="W63" s="356" t="s">
        <v>242</v>
      </c>
      <c r="X63" s="357">
        <v>7.7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14" sqref="E14"/>
    </sheetView>
  </sheetViews>
  <sheetFormatPr defaultColWidth="9.00390625" defaultRowHeight="12.75"/>
  <sheetData>
    <row r="1" spans="1:10" ht="12.75">
      <c r="A1">
        <v>30</v>
      </c>
      <c r="B1" t="s">
        <v>240</v>
      </c>
      <c r="C1">
        <v>5280</v>
      </c>
      <c r="D1" t="s">
        <v>84</v>
      </c>
      <c r="F1" t="s">
        <v>242</v>
      </c>
      <c r="H1" t="s">
        <v>243</v>
      </c>
      <c r="I1" s="336" t="s">
        <v>244</v>
      </c>
      <c r="J1" s="354">
        <f>ROUND(A1*C1/E2/G2,-1)</f>
        <v>50</v>
      </c>
    </row>
    <row r="2" spans="2:8" ht="12.75">
      <c r="B2" t="s">
        <v>241</v>
      </c>
      <c r="D2" t="s">
        <v>240</v>
      </c>
      <c r="E2">
        <v>3.28</v>
      </c>
      <c r="F2" t="s">
        <v>84</v>
      </c>
      <c r="G2">
        <v>1000</v>
      </c>
      <c r="H2" t="s">
        <v>242</v>
      </c>
    </row>
  </sheetData>
  <sheetProtection/>
  <hyperlinks>
    <hyperlink ref="J1" r:id="rId1" display="=@round(J4*L4/N5/P5,1)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Thomas, Scott E (DOT)</dc:creator>
  <cp:keywords/>
  <dc:description/>
  <cp:lastModifiedBy>Ryder, Danielle (DOT)</cp:lastModifiedBy>
  <cp:lastPrinted>2023-01-12T20:59:53Z</cp:lastPrinted>
  <dcterms:created xsi:type="dcterms:W3CDTF">2014-10-31T02:04:46Z</dcterms:created>
  <dcterms:modified xsi:type="dcterms:W3CDTF">2023-09-07T19:26:05Z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