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850" windowHeight="13605" activeTab="0"/>
  </bookViews>
  <sheets>
    <sheet name="Tangent" sheetId="1" r:id="rId1"/>
    <sheet name="Outside Curve" sheetId="2" r:id="rId2"/>
    <sheet name="Inside Curve" sheetId="3" r:id="rId3"/>
    <sheet name="Lr Table" sheetId="4" r:id="rId4"/>
  </sheets>
  <externalReferences>
    <externalReference r:id="rId7"/>
  </externalReferences>
  <definedNames>
    <definedName name="_xlnm.Print_Area" localSheetId="2">'Inside Curve'!$B$1:$L$40</definedName>
    <definedName name="_xlnm.Print_Area" localSheetId="1">'Outside Curve'!$B$1:$L$40</definedName>
    <definedName name="_xlnm.Print_Area" localSheetId="0">'Tangent'!$B$1:$L$41</definedName>
  </definedNames>
  <calcPr fullCalcOnLoad="1"/>
</workbook>
</file>

<file path=xl/comments1.xml><?xml version="1.0" encoding="utf-8"?>
<comments xmlns="http://schemas.openxmlformats.org/spreadsheetml/2006/main">
  <authors>
    <author>kjsmith</author>
  </authors>
  <commentList>
    <comment ref="J57" authorId="0">
      <text>
        <r>
          <rPr>
            <b/>
            <sz val="10"/>
            <rFont val="Tahoma"/>
            <family val="2"/>
          </rPr>
          <t>kjsmith:</t>
        </r>
        <r>
          <rPr>
            <sz val="10"/>
            <rFont val="Tahoma"/>
            <family val="2"/>
          </rPr>
          <t xml:space="preserve">
If computed length is 1' or more greater than the nearest 12.5' segment, another 12.5' is added.</t>
        </r>
      </text>
    </comment>
    <comment ref="C36" authorId="0">
      <text>
        <r>
          <rPr>
            <b/>
            <sz val="10"/>
            <rFont val="Tahoma"/>
            <family val="2"/>
          </rPr>
          <t>kjsmith:</t>
        </r>
        <r>
          <rPr>
            <sz val="10"/>
            <rFont val="Tahoma"/>
            <family val="2"/>
          </rPr>
          <t xml:space="preserve">
Barrier may only be flared when there is a 10:1 or flatter slope on the approach to the barrier. </t>
        </r>
      </text>
    </comment>
  </commentList>
</comments>
</file>

<file path=xl/comments2.xml><?xml version="1.0" encoding="utf-8"?>
<comments xmlns="http://schemas.openxmlformats.org/spreadsheetml/2006/main">
  <authors>
    <author>kjsmith</author>
  </authors>
  <commentList>
    <comment ref="J50" authorId="0">
      <text>
        <r>
          <rPr>
            <b/>
            <sz val="10"/>
            <rFont val="Tahoma"/>
            <family val="2"/>
          </rPr>
          <t>kjsmith:</t>
        </r>
        <r>
          <rPr>
            <sz val="10"/>
            <rFont val="Tahoma"/>
            <family val="2"/>
          </rPr>
          <t xml:space="preserve">
If computed length is 1' or more greater than the nearest 12.5' segment, another 12.5' is added.</t>
        </r>
      </text>
    </comment>
  </commentList>
</comments>
</file>

<file path=xl/comments3.xml><?xml version="1.0" encoding="utf-8"?>
<comments xmlns="http://schemas.openxmlformats.org/spreadsheetml/2006/main">
  <authors>
    <author>kjsmith</author>
  </authors>
  <commentList>
    <comment ref="J47" authorId="0">
      <text>
        <r>
          <rPr>
            <b/>
            <sz val="10"/>
            <rFont val="Tahoma"/>
            <family val="2"/>
          </rPr>
          <t>kjsmith:</t>
        </r>
        <r>
          <rPr>
            <sz val="10"/>
            <rFont val="Tahoma"/>
            <family val="2"/>
          </rPr>
          <t xml:space="preserve">
If computed length is 1' or more greater than the nearest 12.5' segment, another 12.5' is added.</t>
        </r>
      </text>
    </comment>
    <comment ref="I54" authorId="0">
      <text>
        <r>
          <rPr>
            <b/>
            <sz val="8"/>
            <rFont val="Tahoma"/>
            <family val="2"/>
          </rPr>
          <t>kjsmith: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This ignores the "P" variable.  However P has a negligible effect on Angle A.</t>
        </r>
        <r>
          <rPr>
            <sz val="8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2"/>
          </rPr>
          <t>kjsmith:</t>
        </r>
        <r>
          <rPr>
            <sz val="8"/>
            <rFont val="Tahoma"/>
            <family val="2"/>
          </rPr>
          <t xml:space="preserve">
Law of Cosines</t>
        </r>
      </text>
    </comment>
    <comment ref="D56" authorId="0">
      <text>
        <r>
          <rPr>
            <b/>
            <sz val="8"/>
            <rFont val="Tahoma"/>
            <family val="2"/>
          </rPr>
          <t>kjsmith:</t>
        </r>
        <r>
          <rPr>
            <sz val="8"/>
            <rFont val="Tahoma"/>
            <family val="2"/>
          </rPr>
          <t xml:space="preserve">
Law of Sins
</t>
        </r>
      </text>
    </comment>
    <comment ref="D58" authorId="0">
      <text>
        <r>
          <rPr>
            <b/>
            <sz val="8"/>
            <rFont val="Tahoma"/>
            <family val="2"/>
          </rPr>
          <t>kjsmith:</t>
        </r>
        <r>
          <rPr>
            <sz val="8"/>
            <rFont val="Tahoma"/>
            <family val="2"/>
          </rPr>
          <t xml:space="preserve">
Law of Sins
</t>
        </r>
      </text>
    </comment>
    <comment ref="D67" authorId="0">
      <text>
        <r>
          <rPr>
            <b/>
            <sz val="8"/>
            <rFont val="Tahoma"/>
            <family val="2"/>
          </rPr>
          <t>kjsmith:</t>
        </r>
        <r>
          <rPr>
            <sz val="8"/>
            <rFont val="Tahoma"/>
            <family val="2"/>
          </rPr>
          <t xml:space="preserve">
Min Radius allowed by 2004 Green Bk with Alaska-max 6% Super</t>
        </r>
      </text>
    </comment>
    <comment ref="E67" authorId="0">
      <text>
        <r>
          <rPr>
            <b/>
            <sz val="8"/>
            <rFont val="Tahoma"/>
            <family val="2"/>
          </rPr>
          <t>kjsmith:</t>
        </r>
        <r>
          <rPr>
            <sz val="8"/>
            <rFont val="Tahoma"/>
            <family val="2"/>
          </rPr>
          <t xml:space="preserve">
From PCM assuming less than 800 ADT
</t>
        </r>
      </text>
    </comment>
  </commentList>
</comments>
</file>

<file path=xl/sharedStrings.xml><?xml version="1.0" encoding="utf-8"?>
<sst xmlns="http://schemas.openxmlformats.org/spreadsheetml/2006/main" count="134" uniqueCount="96">
  <si>
    <t>X</t>
  </si>
  <si>
    <t>Traffic Volume</t>
  </si>
  <si>
    <t>Design Speed</t>
  </si>
  <si>
    <t>&lt;800</t>
  </si>
  <si>
    <t>800-2,000</t>
  </si>
  <si>
    <t>&gt;6,000</t>
  </si>
  <si>
    <t>2,000-6,000</t>
  </si>
  <si>
    <t>Annual Average Daily Traffic:</t>
  </si>
  <si>
    <t>Speed Limit, MPH:</t>
  </si>
  <si>
    <t>a:</t>
  </si>
  <si>
    <t>L1:</t>
  </si>
  <si>
    <t>Distance, Hazard to Beginning of Flare Point, feet:</t>
  </si>
  <si>
    <t>Length of rail in advance of hazard, feet (ROUNDED to 12.5'):</t>
  </si>
  <si>
    <t>Length of rail in advance of hazard, feet:</t>
  </si>
  <si>
    <t>Barrier Length of Need, Tangent Section</t>
  </si>
  <si>
    <t>Offsets</t>
  </si>
  <si>
    <t>Offset, shoulder stripe to back of hazard (if greater than 100', enter 100), feet:</t>
  </si>
  <si>
    <t>Lateral Offset to 1st non-breakaway post in terminal (1.8' for SRT), feet:</t>
  </si>
  <si>
    <t>Runout Length (Lookup from PCM Table 1130-11), feet:</t>
  </si>
  <si>
    <t>If Non-Flared:</t>
  </si>
  <si>
    <t>If Flared:</t>
  </si>
  <si>
    <t>Backup Computations</t>
  </si>
  <si>
    <t>Results - Length of Need</t>
  </si>
  <si>
    <t>Volume, Speed, Runout Length</t>
  </si>
  <si>
    <t>Misc Backup Comps</t>
  </si>
  <si>
    <t>Row Number for Runout Length Table Lookup:</t>
  </si>
  <si>
    <t>Length of Need Labels for Picture</t>
  </si>
  <si>
    <t>Offset, shoulder stripe to face of rail, feet:</t>
  </si>
  <si>
    <t xml:space="preserve">Length of Need (w Flare) = </t>
  </si>
  <si>
    <t>Flare Rate, Feet :1 Foot:</t>
  </si>
  <si>
    <r>
      <t xml:space="preserve">Length of Need </t>
    </r>
    <r>
      <rPr>
        <sz val="11"/>
        <rFont val="Arial Black"/>
        <family val="2"/>
      </rPr>
      <t>(w/o Flare)</t>
    </r>
    <r>
      <rPr>
        <sz val="14"/>
        <rFont val="Arial Black"/>
        <family val="2"/>
      </rPr>
      <t xml:space="preserve"> = </t>
    </r>
  </si>
  <si>
    <t>Note: The slope in front of barrier must be 10:1 or flatter</t>
  </si>
  <si>
    <t>PCM Table 1130-11, Runout Length</t>
  </si>
  <si>
    <r>
      <t xml:space="preserve">                   Flare   </t>
    </r>
    <r>
      <rPr>
        <sz val="11"/>
        <rFont val="Arial Black"/>
        <family val="2"/>
      </rPr>
      <t>(Enter Zeros if No Flare)</t>
    </r>
  </si>
  <si>
    <r>
      <t>Length of Need</t>
    </r>
    <r>
      <rPr>
        <sz val="14"/>
        <rFont val="Arial Black"/>
        <family val="2"/>
      </rPr>
      <t xml:space="preserve"> = </t>
    </r>
  </si>
  <si>
    <t>Barrier Length of Need, Outside of Curve</t>
  </si>
  <si>
    <t>Barrier Length of Need, Inside of Curve</t>
  </si>
  <si>
    <t>Dimensions</t>
  </si>
  <si>
    <t>R</t>
  </si>
  <si>
    <t>Radius to edge of traveled way</t>
  </si>
  <si>
    <t>T</t>
  </si>
  <si>
    <t>Angle 1</t>
  </si>
  <si>
    <t>Angle 2</t>
  </si>
  <si>
    <t>Angle 3</t>
  </si>
  <si>
    <r>
      <t>L</t>
    </r>
    <r>
      <rPr>
        <vertAlign val="subscript"/>
        <sz val="12"/>
        <rFont val="Arial"/>
        <family val="2"/>
      </rPr>
      <t>HL</t>
    </r>
  </si>
  <si>
    <t>Tangent  Length = sqrt )(R+LHL)^2-R^2)</t>
  </si>
  <si>
    <t>Arc Length of rail in advance of hazard, feet (ROUNDED to 12.5'):</t>
  </si>
  <si>
    <r>
      <t>If T&lt;=L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>, A1=arc Tan T/R  ELSE  A1 = Arc Tan L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>/R, degrees:</t>
    </r>
  </si>
  <si>
    <t>Arc Cos (R/(R+L2), degrees:</t>
  </si>
  <si>
    <t>Results: Length of Need</t>
  </si>
  <si>
    <t xml:space="preserve"> </t>
  </si>
  <si>
    <t>Arc Length of rail in advance of hazard, feet (a3/180*pi*(R+L2)):</t>
  </si>
  <si>
    <t>Computations</t>
  </si>
  <si>
    <t xml:space="preserve">Red  letters indicate inputs </t>
  </si>
  <si>
    <t>Note: Flares are typically not used on horizontal curves</t>
  </si>
  <si>
    <r>
      <rPr>
        <sz val="10"/>
        <rFont val="Arial"/>
        <family val="2"/>
      </rPr>
      <t>Angle</t>
    </r>
    <r>
      <rPr>
        <sz val="12"/>
        <rFont val="Arial"/>
        <family val="2"/>
      </rPr>
      <t xml:space="preserve"> A</t>
    </r>
  </si>
  <si>
    <r>
      <rPr>
        <sz val="10"/>
        <rFont val="Arial"/>
        <family val="2"/>
      </rPr>
      <t>Side</t>
    </r>
    <r>
      <rPr>
        <sz val="12"/>
        <rFont val="Arial"/>
        <family val="2"/>
      </rPr>
      <t xml:space="preserve"> A</t>
    </r>
  </si>
  <si>
    <r>
      <rPr>
        <sz val="10"/>
        <rFont val="Arial"/>
        <family val="2"/>
      </rPr>
      <t>Angle</t>
    </r>
    <r>
      <rPr>
        <sz val="12"/>
        <rFont val="Arial"/>
        <family val="2"/>
      </rPr>
      <t xml:space="preserve"> B</t>
    </r>
  </si>
  <si>
    <r>
      <rPr>
        <sz val="10"/>
        <rFont val="Arial"/>
        <family val="2"/>
      </rPr>
      <t>Angle</t>
    </r>
    <r>
      <rPr>
        <sz val="12"/>
        <rFont val="Arial"/>
        <family val="2"/>
      </rPr>
      <t xml:space="preserve"> C</t>
    </r>
  </si>
  <si>
    <r>
      <rPr>
        <sz val="10"/>
        <rFont val="Arial"/>
        <family val="2"/>
      </rPr>
      <t>Angle</t>
    </r>
    <r>
      <rPr>
        <sz val="12"/>
        <rFont val="Arial"/>
        <family val="2"/>
      </rPr>
      <t xml:space="preserve"> D</t>
    </r>
  </si>
  <si>
    <r>
      <rPr>
        <sz val="10"/>
        <rFont val="Arial"/>
        <family val="2"/>
      </rPr>
      <t>Angle</t>
    </r>
    <r>
      <rPr>
        <sz val="12"/>
        <rFont val="Arial"/>
        <family val="2"/>
      </rPr>
      <t xml:space="preserve"> E</t>
    </r>
  </si>
  <si>
    <t>Distance from outside edge of hazard (or CZ) to first non-breakaway post</t>
  </si>
  <si>
    <t>180 - Angle B</t>
  </si>
  <si>
    <t>Angle btwn Side A and radius at first non-breakway post</t>
  </si>
  <si>
    <t>Central Angle of arc w radius=R-L2 and arc length=LON (tangent), degrees:</t>
  </si>
  <si>
    <t>Angle btwn Side A and radius at pt of intersection w shoulder stripe (EOTW):</t>
  </si>
  <si>
    <t>Runout Length Lookup</t>
  </si>
  <si>
    <t>To Outside of Hazard</t>
  </si>
  <si>
    <t>Speed</t>
  </si>
  <si>
    <t>Radius</t>
  </si>
  <si>
    <t>Runout</t>
  </si>
  <si>
    <t xml:space="preserve"> Length</t>
  </si>
  <si>
    <t>LON (comp)</t>
  </si>
  <si>
    <t>Angle</t>
  </si>
  <si>
    <t>Departure Angles Under Various Conditions (Low Volume)</t>
  </si>
  <si>
    <t>Hazard at 11' Offset (3' behind rail)</t>
  </si>
  <si>
    <t>Hazard at 30' Offset (22' behind rail)</t>
  </si>
  <si>
    <t>Departure Angle:  angle between tangent to shldr stripe at departure point and line through 1st NB post and outside edge of hazard or clear zone (whichever is less): [90-Angle D]</t>
  </si>
  <si>
    <t>Radius to shoulder stripe (edge of traveled way)  (Input):</t>
  </si>
  <si>
    <r>
      <t>Angle of Departure</t>
    </r>
    <r>
      <rPr>
        <sz val="10"/>
        <rFont val="Arial Black"/>
        <family val="2"/>
      </rPr>
      <t xml:space="preserve"> (Informational Only - not used in LON comp)</t>
    </r>
  </si>
  <si>
    <t>Based on Pending Changes (as of 4/08) to the ADOT&amp;PF Preconstruction Manual</t>
  </si>
  <si>
    <t>Based on ADOT&amp;PF Preconstruction Manual Figures 1130-5&amp;6</t>
  </si>
  <si>
    <t>Based on ADOT&amp;PF Preconstruction Manual Figures 1130-4a&amp;4b</t>
  </si>
  <si>
    <t xml:space="preserve">Clear Zone Width (see PCM Table 1130-2), feet:  </t>
  </si>
  <si>
    <t>Least of Lh (offset to back of obstacle), Clear Zone, feet:</t>
  </si>
  <si>
    <t xml:space="preserve">P:   </t>
  </si>
  <si>
    <t xml:space="preserve">Clear Zone Width (see PCM Table 1130-2), feet: </t>
  </si>
  <si>
    <t>*  To compute Length of Need for traffic in the opposing direction, measure Lh, L2, and CZ from the nearest edge of lane for traffic in that direction.</t>
  </si>
  <si>
    <r>
      <t xml:space="preserve">Lh: </t>
    </r>
    <r>
      <rPr>
        <sz val="12"/>
        <color indexed="17"/>
        <rFont val="Arial"/>
        <family val="2"/>
      </rPr>
      <t>*</t>
    </r>
  </si>
  <si>
    <r>
      <t xml:space="preserve">L2: </t>
    </r>
    <r>
      <rPr>
        <sz val="12"/>
        <color indexed="17"/>
        <rFont val="Arial"/>
        <family val="2"/>
      </rPr>
      <t>*</t>
    </r>
  </si>
  <si>
    <r>
      <t xml:space="preserve">CZ  </t>
    </r>
    <r>
      <rPr>
        <sz val="12"/>
        <color indexed="17"/>
        <rFont val="Arial"/>
        <family val="2"/>
      </rPr>
      <t>*</t>
    </r>
  </si>
  <si>
    <r>
      <t>R</t>
    </r>
    <r>
      <rPr>
        <sz val="12"/>
        <color indexed="17"/>
        <rFont val="Arial"/>
        <family val="2"/>
      </rPr>
      <t xml:space="preserve">  *</t>
    </r>
  </si>
  <si>
    <r>
      <t xml:space="preserve">L2:  </t>
    </r>
    <r>
      <rPr>
        <sz val="12"/>
        <color indexed="17"/>
        <rFont val="Arial"/>
        <family val="2"/>
      </rPr>
      <t>*</t>
    </r>
  </si>
  <si>
    <r>
      <t xml:space="preserve">Lh:  </t>
    </r>
    <r>
      <rPr>
        <sz val="12"/>
        <color indexed="17"/>
        <rFont val="Arial"/>
        <family val="2"/>
      </rPr>
      <t>*</t>
    </r>
  </si>
  <si>
    <r>
      <t xml:space="preserve">CZ  </t>
    </r>
    <r>
      <rPr>
        <sz val="12"/>
        <color indexed="17"/>
        <rFont val="Arial"/>
        <family val="2"/>
      </rPr>
      <t>*</t>
    </r>
  </si>
  <si>
    <t>Clear Zone Width (see PCM Table 1130-2), feet: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</si>
</sst>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_);[Red]\(&quot;$&quot;#,##0.0\)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ms Rmn"/>
      <family val="0"/>
    </font>
    <font>
      <sz val="12"/>
      <name val="Arial"/>
      <family val="2"/>
    </font>
    <font>
      <sz val="14"/>
      <name val="Arial Black"/>
      <family val="2"/>
    </font>
    <font>
      <sz val="11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b/>
      <sz val="10"/>
      <name val="Tahoma"/>
      <family val="2"/>
    </font>
    <font>
      <sz val="10"/>
      <name val="Tahoma"/>
      <family val="2"/>
    </font>
    <font>
      <sz val="18"/>
      <name val="Arial Black"/>
      <family val="2"/>
    </font>
    <font>
      <sz val="12"/>
      <name val="Geneva"/>
      <family val="0"/>
    </font>
    <font>
      <i/>
      <sz val="10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Black"/>
      <family val="2"/>
    </font>
    <font>
      <sz val="8"/>
      <name val="Arial Black"/>
      <family val="2"/>
    </font>
    <font>
      <sz val="8"/>
      <name val="Geneva"/>
      <family val="0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ms Rmn"/>
      <family val="0"/>
    </font>
    <font>
      <sz val="10"/>
      <color indexed="10"/>
      <name val="Geneva"/>
      <family val="0"/>
    </font>
    <font>
      <b/>
      <i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8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ms Rmn"/>
      <family val="0"/>
    </font>
    <font>
      <sz val="10"/>
      <color rgb="FFFF0000"/>
      <name val="Geneva"/>
      <family val="0"/>
    </font>
    <font>
      <b/>
      <i/>
      <sz val="10"/>
      <color rgb="FF00AA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8"/>
      <color rgb="FF0000FF"/>
      <name val="Arial Black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16" xfId="0" applyBorder="1" applyAlignment="1">
      <alignment/>
    </xf>
    <xf numFmtId="0" fontId="5" fillId="0" borderId="21" xfId="0" applyFont="1" applyBorder="1" applyAlignment="1">
      <alignment horizontal="center" vertical="top"/>
    </xf>
    <xf numFmtId="164" fontId="14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 vertical="top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5" fillId="0" borderId="16" xfId="0" applyFont="1" applyBorder="1" applyAlignment="1">
      <alignment wrapText="1"/>
    </xf>
    <xf numFmtId="164" fontId="13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23" xfId="0" applyBorder="1" applyAlignment="1">
      <alignment/>
    </xf>
    <xf numFmtId="0" fontId="5" fillId="0" borderId="23" xfId="0" applyFont="1" applyBorder="1" applyAlignment="1">
      <alignment/>
    </xf>
    <xf numFmtId="164" fontId="13" fillId="0" borderId="0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70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top" wrapText="1"/>
    </xf>
    <xf numFmtId="164" fontId="14" fillId="0" borderId="24" xfId="0" applyNumberFormat="1" applyFont="1" applyBorder="1" applyAlignment="1">
      <alignment/>
    </xf>
    <xf numFmtId="164" fontId="5" fillId="0" borderId="24" xfId="0" applyNumberFormat="1" applyFont="1" applyFill="1" applyBorder="1" applyAlignment="1">
      <alignment vertical="top"/>
    </xf>
    <xf numFmtId="164" fontId="5" fillId="0" borderId="24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/>
    </xf>
    <xf numFmtId="0" fontId="70" fillId="0" borderId="23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18" xfId="0" applyBorder="1" applyAlignment="1">
      <alignment/>
    </xf>
    <xf numFmtId="0" fontId="4" fillId="0" borderId="20" xfId="0" applyFont="1" applyBorder="1" applyAlignment="1">
      <alignment/>
    </xf>
    <xf numFmtId="0" fontId="15" fillId="0" borderId="16" xfId="0" applyFont="1" applyBorder="1" applyAlignment="1">
      <alignment horizontal="center" vertical="top"/>
    </xf>
    <xf numFmtId="169" fontId="5" fillId="0" borderId="21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 wrapText="1"/>
    </xf>
    <xf numFmtId="164" fontId="14" fillId="0" borderId="24" xfId="0" applyNumberFormat="1" applyFont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2" fontId="5" fillId="0" borderId="21" xfId="0" applyNumberFormat="1" applyFont="1" applyBorder="1" applyAlignment="1">
      <alignment horizontal="right" vertical="center"/>
    </xf>
    <xf numFmtId="0" fontId="71" fillId="0" borderId="23" xfId="0" applyFont="1" applyBorder="1" applyAlignment="1">
      <alignment vertical="center"/>
    </xf>
    <xf numFmtId="2" fontId="5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right" vertical="center"/>
    </xf>
    <xf numFmtId="9" fontId="0" fillId="0" borderId="0" xfId="57" applyFont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0" fontId="14" fillId="0" borderId="10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72" fillId="0" borderId="0" xfId="0" applyFont="1" applyBorder="1" applyAlignment="1">
      <alignment vertical="top"/>
    </xf>
    <xf numFmtId="0" fontId="16" fillId="0" borderId="2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73" fillId="0" borderId="10" xfId="0" applyFont="1" applyBorder="1" applyAlignment="1" applyProtection="1">
      <alignment horizontal="right" vertical="center"/>
      <protection locked="0"/>
    </xf>
    <xf numFmtId="0" fontId="73" fillId="0" borderId="11" xfId="0" applyFont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" fontId="73" fillId="0" borderId="10" xfId="42" applyNumberFormat="1" applyFont="1" applyBorder="1" applyAlignment="1" applyProtection="1">
      <alignment horizontal="right" vertical="center"/>
      <protection locked="0"/>
    </xf>
    <xf numFmtId="0" fontId="16" fillId="0" borderId="2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3" fontId="74" fillId="0" borderId="11" xfId="42" applyNumberFormat="1" applyFont="1" applyBorder="1" applyAlignment="1" applyProtection="1">
      <alignment horizontal="right" vertical="center"/>
      <protection locked="0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75" fillId="0" borderId="11" xfId="0" applyFont="1" applyBorder="1" applyAlignment="1" applyProtection="1">
      <alignment vertical="center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3" fontId="74" fillId="0" borderId="10" xfId="42" applyNumberFormat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vertical="center"/>
    </xf>
    <xf numFmtId="0" fontId="75" fillId="0" borderId="10" xfId="0" applyFont="1" applyBorder="1" applyAlignment="1" applyProtection="1">
      <alignment horizontal="right" vertical="center"/>
      <protection locked="0"/>
    </xf>
    <xf numFmtId="0" fontId="15" fillId="0" borderId="16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3" fillId="0" borderId="21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6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0" borderId="21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16" fillId="0" borderId="21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2</xdr:row>
      <xdr:rowOff>180975</xdr:rowOff>
    </xdr:from>
    <xdr:to>
      <xdr:col>8</xdr:col>
      <xdr:colOff>638175</xdr:colOff>
      <xdr:row>3</xdr:row>
      <xdr:rowOff>219075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14875" y="590550"/>
          <a:ext cx="2190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letters indicate inputs</a:t>
          </a:r>
        </a:p>
      </xdr:txBody>
    </xdr:sp>
    <xdr:clientData/>
  </xdr:twoCellAnchor>
  <xdr:twoCellAnchor>
    <xdr:from>
      <xdr:col>9</xdr:col>
      <xdr:colOff>333375</xdr:colOff>
      <xdr:row>28</xdr:row>
      <xdr:rowOff>257175</xdr:rowOff>
    </xdr:from>
    <xdr:to>
      <xdr:col>11</xdr:col>
      <xdr:colOff>981075</xdr:colOff>
      <xdr:row>36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620000" y="5257800"/>
          <a:ext cx="320992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hazard may be a fixed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object, non-traversable ditch, or a non-traversable (steeper than 3:1) slope.  For slope hazards, measure length of need from the point where the slope becomes steeper than 3:1 or, if there is a hazard at the bottom of the slope, where it becomes steeper than 4:1.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Install barrier so the first non-breakaway post is at the end of the length of need.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28</xdr:row>
      <xdr:rowOff>523875</xdr:rowOff>
    </xdr:from>
    <xdr:to>
      <xdr:col>11</xdr:col>
      <xdr:colOff>1181100</xdr:colOff>
      <xdr:row>39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81925" y="5753100"/>
          <a:ext cx="35147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hazard may be a fixed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object, non-traversable ditch, or a non-traversable (steeper than 3:1) slope.  For slope hazards, measure length of need from the point where the slope becomes steeper than 3:1 or, if there is a hazard at the bottom of the slope, where it becomes steeper than 4:1.   Install barrier so the first non-breakaway post is at the end of the length of need. </a:t>
          </a:r>
        </a:p>
      </xdr:txBody>
    </xdr:sp>
    <xdr:clientData/>
  </xdr:twoCellAnchor>
  <xdr:twoCellAnchor>
    <xdr:from>
      <xdr:col>6</xdr:col>
      <xdr:colOff>485775</xdr:colOff>
      <xdr:row>2</xdr:row>
      <xdr:rowOff>200025</xdr:rowOff>
    </xdr:from>
    <xdr:to>
      <xdr:col>8</xdr:col>
      <xdr:colOff>638175</xdr:colOff>
      <xdr:row>3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81575" y="609600"/>
          <a:ext cx="2190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letters indicate inputs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29</xdr:row>
      <xdr:rowOff>247650</xdr:rowOff>
    </xdr:from>
    <xdr:to>
      <xdr:col>11</xdr:col>
      <xdr:colOff>1609725</xdr:colOff>
      <xdr:row>35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48550" y="5848350"/>
          <a:ext cx="385762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hazard may be a fixed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object, non-traversable ditch, or a non-traversable (steeper than 3:1) slope.  For slope hazards, measure length of need from the point where the slope becomes steeper than 3:1 or, if there is a hazard at the bottom of the slope, where it becomes steeper than 4:1.   Install barrier so the first non-breakaway post is at the end of the length of need. </a:t>
          </a:r>
        </a:p>
      </xdr:txBody>
    </xdr:sp>
    <xdr:clientData/>
  </xdr:twoCellAnchor>
  <xdr:twoCellAnchor>
    <xdr:from>
      <xdr:col>10</xdr:col>
      <xdr:colOff>47625</xdr:colOff>
      <xdr:row>42</xdr:row>
      <xdr:rowOff>66675</xdr:rowOff>
    </xdr:from>
    <xdr:to>
      <xdr:col>11</xdr:col>
      <xdr:colOff>1714500</xdr:colOff>
      <xdr:row>59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201025" y="10201275"/>
          <a:ext cx="3209925" cy="5600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accordance with the pending Preconstruction Manual Revision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(as of 4/08), length of need on the inside of curves  is computed as if it were on tangent.    This is also the method used by WSDOT.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Departure angle is computed  as the angle created by a tangent to the curve at the point of intersection of the curve and the line that goes through the third post and the outside of the hazard or clear zone.  </a:t>
          </a:r>
        </a:p>
      </xdr:txBody>
    </xdr:sp>
    <xdr:clientData/>
  </xdr:twoCellAnchor>
  <xdr:twoCellAnchor>
    <xdr:from>
      <xdr:col>6</xdr:col>
      <xdr:colOff>495300</xdr:colOff>
      <xdr:row>2</xdr:row>
      <xdr:rowOff>200025</xdr:rowOff>
    </xdr:from>
    <xdr:to>
      <xdr:col>8</xdr:col>
      <xdr:colOff>647700</xdr:colOff>
      <xdr:row>4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572000" y="609600"/>
          <a:ext cx="2190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letters indicate inputs</a:t>
          </a:r>
        </a:p>
      </xdr:txBody>
    </xdr:sp>
    <xdr:clientData/>
  </xdr:twoCellAnchor>
  <xdr:twoCellAnchor editAs="oneCell">
    <xdr:from>
      <xdr:col>12</xdr:col>
      <xdr:colOff>723900</xdr:colOff>
      <xdr:row>43</xdr:row>
      <xdr:rowOff>85725</xdr:rowOff>
    </xdr:from>
    <xdr:to>
      <xdr:col>19</xdr:col>
      <xdr:colOff>619125</xdr:colOff>
      <xdr:row>61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rcRect l="27758" t="15341" r="26126" b="2557"/>
        <a:stretch>
          <a:fillRect/>
        </a:stretch>
      </xdr:blipFill>
      <xdr:spPr>
        <a:xfrm>
          <a:off x="12182475" y="10534650"/>
          <a:ext cx="5886450" cy="5915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152400</xdr:rowOff>
    </xdr:from>
    <xdr:to>
      <xdr:col>6</xdr:col>
      <xdr:colOff>19050</xdr:colOff>
      <xdr:row>20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2895600"/>
          <a:ext cx="41814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the speed limit is less than 30, the spreadsheet uses runout lengths for 30.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if the speed limit is 35 or 65, the spreadsheet uses runout lengths for the next higher 5 MPH speed increment.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rrier%20LON%20Comp%20-%20La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ngent"/>
      <sheetName val="Outside Curve"/>
      <sheetName val="Inside Curve"/>
      <sheetName val="Lr Table"/>
    </sheetNames>
    <sheetDataSet>
      <sheetData sheetId="3">
        <row r="5">
          <cell r="C5">
            <v>0</v>
          </cell>
          <cell r="D5">
            <v>800</v>
          </cell>
          <cell r="E5">
            <v>2000</v>
          </cell>
          <cell r="F5">
            <v>6000</v>
          </cell>
        </row>
        <row r="6">
          <cell r="B6">
            <v>30</v>
          </cell>
          <cell r="C6">
            <v>130</v>
          </cell>
          <cell r="D6">
            <v>150</v>
          </cell>
          <cell r="E6">
            <v>165</v>
          </cell>
          <cell r="F6">
            <v>165</v>
          </cell>
        </row>
        <row r="7">
          <cell r="B7">
            <v>40</v>
          </cell>
          <cell r="C7">
            <v>165</v>
          </cell>
          <cell r="D7">
            <v>180</v>
          </cell>
          <cell r="E7">
            <v>200</v>
          </cell>
          <cell r="F7">
            <v>230</v>
          </cell>
        </row>
        <row r="8">
          <cell r="B8">
            <v>45</v>
          </cell>
          <cell r="C8">
            <v>200</v>
          </cell>
          <cell r="D8">
            <v>215</v>
          </cell>
          <cell r="E8">
            <v>245</v>
          </cell>
          <cell r="F8">
            <v>260</v>
          </cell>
        </row>
        <row r="9">
          <cell r="B9">
            <v>50</v>
          </cell>
          <cell r="C9">
            <v>245</v>
          </cell>
          <cell r="D9">
            <v>260</v>
          </cell>
          <cell r="E9">
            <v>300</v>
          </cell>
          <cell r="F9">
            <v>330</v>
          </cell>
        </row>
        <row r="10">
          <cell r="B10">
            <v>55</v>
          </cell>
          <cell r="C10">
            <v>280</v>
          </cell>
          <cell r="D10">
            <v>315</v>
          </cell>
          <cell r="E10">
            <v>345</v>
          </cell>
          <cell r="F10">
            <v>360</v>
          </cell>
        </row>
        <row r="11">
          <cell r="B11">
            <v>60</v>
          </cell>
          <cell r="C11">
            <v>330</v>
          </cell>
          <cell r="D11">
            <v>345</v>
          </cell>
          <cell r="E11">
            <v>400</v>
          </cell>
          <cell r="F11">
            <v>425</v>
          </cell>
        </row>
        <row r="12">
          <cell r="B12">
            <v>70</v>
          </cell>
          <cell r="C12">
            <v>360</v>
          </cell>
          <cell r="D12">
            <v>400</v>
          </cell>
          <cell r="E12">
            <v>445</v>
          </cell>
          <cell r="F12">
            <v>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0"/>
  <sheetViews>
    <sheetView showGridLines="0" showRowColHeaders="0" tabSelected="1" view="pageBreakPreview" zoomScaleSheetLayoutView="100" workbookViewId="0" topLeftCell="A1">
      <selection activeCell="G6" sqref="G6"/>
    </sheetView>
  </sheetViews>
  <sheetFormatPr defaultColWidth="11.375" defaultRowHeight="12.75"/>
  <cols>
    <col min="1" max="1" width="1.75390625" style="0" customWidth="1"/>
    <col min="2" max="2" width="4.75390625" style="0" customWidth="1"/>
    <col min="3" max="3" width="8.875" style="1" customWidth="1"/>
    <col min="4" max="10" width="13.375" style="0" customWidth="1"/>
    <col min="11" max="11" width="20.25390625" style="0" customWidth="1"/>
    <col min="12" max="12" width="21.375" style="0" customWidth="1"/>
    <col min="13" max="13" width="11.375" style="0" customWidth="1"/>
    <col min="14" max="14" width="10.375" style="0" customWidth="1"/>
  </cols>
  <sheetData>
    <row r="1" ht="5.25" customHeight="1"/>
    <row r="2" spans="3:12" ht="27">
      <c r="C2" s="141" t="s">
        <v>14</v>
      </c>
      <c r="D2" s="141"/>
      <c r="E2" s="141"/>
      <c r="F2" s="141"/>
      <c r="G2" s="141"/>
      <c r="H2" s="141"/>
      <c r="I2" s="141"/>
      <c r="J2" s="141"/>
      <c r="K2" s="141"/>
      <c r="L2" s="141"/>
    </row>
    <row r="3" spans="3:12" ht="18.75">
      <c r="C3" s="142" t="s">
        <v>82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3:12" ht="23.25" customHeight="1"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3:12" s="50" customFormat="1" ht="19.5">
      <c r="C5" s="147" t="s">
        <v>23</v>
      </c>
      <c r="D5" s="148"/>
      <c r="E5" s="148"/>
      <c r="F5" s="148"/>
      <c r="G5" s="149"/>
      <c r="H5" s="49"/>
      <c r="J5" s="51"/>
      <c r="K5" s="51"/>
      <c r="L5" s="51"/>
    </row>
    <row r="6" spans="3:12" s="23" customFormat="1" ht="14.25">
      <c r="C6" s="110" t="s">
        <v>7</v>
      </c>
      <c r="D6" s="111"/>
      <c r="E6" s="111"/>
      <c r="F6" s="111"/>
      <c r="G6" s="112">
        <v>2000</v>
      </c>
      <c r="J6" s="24"/>
      <c r="K6" s="24"/>
      <c r="L6" s="24"/>
    </row>
    <row r="7" spans="3:12" s="23" customFormat="1" ht="14.25">
      <c r="C7" s="98" t="s">
        <v>8</v>
      </c>
      <c r="D7" s="99"/>
      <c r="E7" s="99"/>
      <c r="F7" s="99"/>
      <c r="G7" s="112">
        <v>55</v>
      </c>
      <c r="J7" s="24"/>
      <c r="K7" s="24"/>
      <c r="L7" s="24"/>
    </row>
    <row r="8" spans="3:12" s="23" customFormat="1" ht="14.25">
      <c r="C8" s="113" t="s">
        <v>18</v>
      </c>
      <c r="D8" s="114"/>
      <c r="E8" s="114"/>
      <c r="F8" s="114"/>
      <c r="G8" s="115">
        <f>HLOOKUP(G6,'Lr Table'!B5:F12,J60)</f>
        <v>345</v>
      </c>
      <c r="J8" s="24"/>
      <c r="K8" s="24"/>
      <c r="L8" s="24"/>
    </row>
    <row r="9" ht="15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20.25" customHeight="1"/>
    <row r="30" spans="3:9" s="52" customFormat="1" ht="19.5">
      <c r="C30" s="147" t="s">
        <v>15</v>
      </c>
      <c r="D30" s="148"/>
      <c r="E30" s="148"/>
      <c r="F30" s="148"/>
      <c r="G30" s="148"/>
      <c r="H30" s="148"/>
      <c r="I30" s="149"/>
    </row>
    <row r="31" spans="3:9" ht="15" customHeight="1">
      <c r="C31" s="116" t="s">
        <v>88</v>
      </c>
      <c r="D31" s="98" t="s">
        <v>16</v>
      </c>
      <c r="E31" s="99"/>
      <c r="F31" s="99"/>
      <c r="G31" s="99"/>
      <c r="H31" s="100"/>
      <c r="I31" s="117">
        <v>20</v>
      </c>
    </row>
    <row r="32" spans="3:9" ht="15">
      <c r="C32" s="118" t="s">
        <v>89</v>
      </c>
      <c r="D32" s="98" t="s">
        <v>27</v>
      </c>
      <c r="E32" s="99"/>
      <c r="F32" s="99"/>
      <c r="G32" s="99"/>
      <c r="H32" s="100"/>
      <c r="I32" s="117">
        <v>8</v>
      </c>
    </row>
    <row r="33" spans="3:9" ht="15">
      <c r="C33" s="119" t="s">
        <v>90</v>
      </c>
      <c r="D33" s="103" t="s">
        <v>83</v>
      </c>
      <c r="E33" s="104"/>
      <c r="F33" s="104"/>
      <c r="G33" s="104"/>
      <c r="H33" s="105"/>
      <c r="I33" s="117">
        <v>26</v>
      </c>
    </row>
    <row r="34" spans="3:9" ht="15">
      <c r="C34" s="119" t="s">
        <v>85</v>
      </c>
      <c r="D34" s="103" t="s">
        <v>17</v>
      </c>
      <c r="E34" s="104"/>
      <c r="F34" s="104"/>
      <c r="G34" s="104"/>
      <c r="H34" s="105"/>
      <c r="I34" s="117">
        <v>1.8</v>
      </c>
    </row>
    <row r="35" ht="14.25" customHeight="1"/>
    <row r="36" spans="3:9" ht="19.5">
      <c r="C36" s="147" t="s">
        <v>33</v>
      </c>
      <c r="D36" s="148"/>
      <c r="E36" s="148"/>
      <c r="F36" s="148"/>
      <c r="G36" s="148"/>
      <c r="H36" s="148"/>
      <c r="I36" s="149"/>
    </row>
    <row r="37" spans="3:9" ht="15">
      <c r="C37" s="118" t="s">
        <v>9</v>
      </c>
      <c r="D37" s="103" t="s">
        <v>29</v>
      </c>
      <c r="E37" s="104"/>
      <c r="F37" s="104"/>
      <c r="G37" s="104"/>
      <c r="H37" s="105"/>
      <c r="I37" s="117">
        <v>0</v>
      </c>
    </row>
    <row r="38" spans="3:9" ht="15">
      <c r="C38" s="118" t="s">
        <v>10</v>
      </c>
      <c r="D38" s="103" t="s">
        <v>11</v>
      </c>
      <c r="E38" s="104"/>
      <c r="F38" s="104"/>
      <c r="G38" s="104"/>
      <c r="H38" s="105"/>
      <c r="I38" s="117">
        <v>0</v>
      </c>
    </row>
    <row r="39" spans="3:9" ht="24.75" customHeight="1">
      <c r="C39" s="29"/>
      <c r="D39" s="123" t="s">
        <v>31</v>
      </c>
      <c r="E39" s="123"/>
      <c r="F39" s="123"/>
      <c r="G39" s="123"/>
      <c r="H39" s="123"/>
      <c r="I39" s="69"/>
    </row>
    <row r="40" spans="3:4" ht="15">
      <c r="C40" s="97" t="s">
        <v>87</v>
      </c>
      <c r="D40" s="30"/>
    </row>
    <row r="41" spans="3:4" ht="15">
      <c r="C41" s="29"/>
      <c r="D41" s="30"/>
    </row>
    <row r="42" spans="3:4" ht="15">
      <c r="C42" s="29"/>
      <c r="D42" s="30"/>
    </row>
    <row r="43" spans="3:4" ht="15">
      <c r="C43" s="29"/>
      <c r="D43" s="30"/>
    </row>
    <row r="44" spans="3:4" ht="15">
      <c r="C44"/>
      <c r="D44" s="30"/>
    </row>
    <row r="45" spans="3:4" ht="15">
      <c r="C45" s="29"/>
      <c r="D45" s="30"/>
    </row>
    <row r="46" spans="3:4" ht="15">
      <c r="C46" s="29"/>
      <c r="D46" s="30"/>
    </row>
    <row r="47" spans="3:4" ht="15">
      <c r="C47" s="29"/>
      <c r="D47" s="30"/>
    </row>
    <row r="48" spans="3:4" ht="15">
      <c r="C48" s="29"/>
      <c r="D48" s="30"/>
    </row>
    <row r="49" spans="3:4" ht="15">
      <c r="C49" s="29"/>
      <c r="D49" s="30"/>
    </row>
    <row r="50" spans="3:4" ht="15">
      <c r="C50" s="29"/>
      <c r="D50" s="30"/>
    </row>
    <row r="51" spans="3:4" ht="15">
      <c r="C51" s="29"/>
      <c r="D51" s="30"/>
    </row>
    <row r="52" spans="3:4" ht="15">
      <c r="C52" s="29"/>
      <c r="D52" s="30"/>
    </row>
    <row r="53" spans="3:11" ht="27">
      <c r="C53" s="135" t="s">
        <v>21</v>
      </c>
      <c r="D53" s="136"/>
      <c r="E53" s="136"/>
      <c r="F53" s="136"/>
      <c r="G53" s="136"/>
      <c r="H53" s="136"/>
      <c r="I53" s="136"/>
      <c r="J53" s="137"/>
      <c r="K53" s="45"/>
    </row>
    <row r="54" spans="3:11" ht="19.5" customHeight="1">
      <c r="C54" s="129" t="s">
        <v>22</v>
      </c>
      <c r="D54" s="130"/>
      <c r="E54" s="130"/>
      <c r="F54" s="130"/>
      <c r="G54" s="130"/>
      <c r="H54" s="130"/>
      <c r="I54" s="130"/>
      <c r="J54" s="131"/>
      <c r="K54" s="46"/>
    </row>
    <row r="55" spans="3:11" ht="15.75" customHeight="1">
      <c r="C55" s="35"/>
      <c r="D55" s="144" t="s">
        <v>84</v>
      </c>
      <c r="E55" s="145"/>
      <c r="F55" s="145"/>
      <c r="G55" s="145"/>
      <c r="H55" s="145"/>
      <c r="I55" s="146"/>
      <c r="J55" s="36">
        <f>MIN(I31,I33)</f>
        <v>20</v>
      </c>
      <c r="K55" s="46"/>
    </row>
    <row r="56" spans="1:11" s="22" customFormat="1" ht="15">
      <c r="A56"/>
      <c r="B56"/>
      <c r="C56" s="32" t="s">
        <v>0</v>
      </c>
      <c r="D56" s="132" t="s">
        <v>13</v>
      </c>
      <c r="E56" s="133"/>
      <c r="F56" s="133"/>
      <c r="G56" s="133"/>
      <c r="H56" s="133"/>
      <c r="I56" s="134"/>
      <c r="J56" s="33">
        <f>(J55-I32+(IF(I37=0,0,1/I37*I38))-(IF(I37=0,I34,(I37*I34)/SQRT(I37^2+1))))/(J55/G8+IF(I37=0,0,1/I37))</f>
        <v>175.95</v>
      </c>
      <c r="K56" s="47"/>
    </row>
    <row r="57" spans="3:11" ht="15">
      <c r="C57" s="32"/>
      <c r="D57" s="138" t="s">
        <v>12</v>
      </c>
      <c r="E57" s="139"/>
      <c r="F57" s="139"/>
      <c r="G57" s="139"/>
      <c r="H57" s="139"/>
      <c r="I57" s="140"/>
      <c r="J57" s="34">
        <f>12.5*(INT((J56+11.5)/12.5))</f>
        <v>175</v>
      </c>
      <c r="K57" s="46"/>
    </row>
    <row r="58" spans="3:12" ht="14.25" customHeight="1">
      <c r="C58" s="42"/>
      <c r="D58" s="25"/>
      <c r="E58" s="25"/>
      <c r="F58" s="25"/>
      <c r="G58" s="25"/>
      <c r="H58" s="25"/>
      <c r="I58" s="25"/>
      <c r="J58" s="26"/>
      <c r="K58" s="48"/>
      <c r="L58" s="2"/>
    </row>
    <row r="59" spans="3:12" ht="22.5">
      <c r="C59" s="129" t="s">
        <v>24</v>
      </c>
      <c r="D59" s="130"/>
      <c r="E59" s="130"/>
      <c r="F59" s="130"/>
      <c r="G59" s="130"/>
      <c r="H59" s="130"/>
      <c r="I59" s="130"/>
      <c r="J59" s="131"/>
      <c r="K59" s="48"/>
      <c r="L59" s="2"/>
    </row>
    <row r="60" spans="3:12" ht="15">
      <c r="C60" s="132" t="s">
        <v>25</v>
      </c>
      <c r="D60" s="133"/>
      <c r="E60" s="133"/>
      <c r="F60" s="133"/>
      <c r="G60" s="133"/>
      <c r="H60" s="133"/>
      <c r="I60" s="134"/>
      <c r="J60" s="17">
        <f>IF(G7=30,2,IF(OR(G7=35,G7=40),3,IF(G7=45,4,IF(G7=50,5,IF(G7=55,6,IF(G7=60,7,IF(OR(G7=65,G7=70),8,"error")))))))</f>
        <v>6</v>
      </c>
      <c r="K60" s="48"/>
      <c r="L60" s="2"/>
    </row>
    <row r="61" spans="3:12" ht="15">
      <c r="C61" s="132"/>
      <c r="D61" s="133"/>
      <c r="E61" s="133"/>
      <c r="F61" s="133"/>
      <c r="G61" s="133"/>
      <c r="H61" s="133"/>
      <c r="I61" s="134"/>
      <c r="J61" s="37"/>
      <c r="K61" s="48"/>
      <c r="L61" s="2"/>
    </row>
    <row r="62" spans="3:12" ht="14.25" customHeight="1">
      <c r="C62" s="43"/>
      <c r="D62" s="3"/>
      <c r="E62" s="3"/>
      <c r="F62" s="3"/>
      <c r="G62" s="3"/>
      <c r="H62" s="3"/>
      <c r="I62" s="3"/>
      <c r="J62" s="9"/>
      <c r="K62" s="48"/>
      <c r="L62" s="2"/>
    </row>
    <row r="63" spans="3:12" ht="22.5">
      <c r="C63" s="126" t="s">
        <v>26</v>
      </c>
      <c r="D63" s="127"/>
      <c r="E63" s="127"/>
      <c r="F63" s="127"/>
      <c r="G63" s="127"/>
      <c r="H63" s="127"/>
      <c r="I63" s="127"/>
      <c r="J63" s="128"/>
      <c r="K63" s="48"/>
      <c r="L63" s="2"/>
    </row>
    <row r="64" spans="3:12" ht="15.75">
      <c r="C64" s="38" t="s">
        <v>20</v>
      </c>
      <c r="D64" s="31"/>
      <c r="E64" s="39"/>
      <c r="F64" s="39"/>
      <c r="G64" s="39"/>
      <c r="H64" s="18"/>
      <c r="I64" s="18"/>
      <c r="J64" s="18"/>
      <c r="K64" s="31"/>
      <c r="L64" s="19"/>
    </row>
    <row r="65" spans="3:12" ht="27">
      <c r="C65" s="124" t="s">
        <v>28</v>
      </c>
      <c r="D65" s="125"/>
      <c r="E65" s="40">
        <f>J57</f>
        <v>175</v>
      </c>
      <c r="F65" s="41"/>
      <c r="G65" s="143">
        <f>IF(I37&lt;&gt;0,C65&amp;E65&amp;"'","")</f>
      </c>
      <c r="H65" s="143"/>
      <c r="I65" s="143"/>
      <c r="J65" s="143"/>
      <c r="K65" s="143"/>
      <c r="L65" s="11"/>
    </row>
    <row r="66" spans="3:12" ht="12.75">
      <c r="C66" s="42"/>
      <c r="D66" s="25"/>
      <c r="E66" s="25"/>
      <c r="F66" s="25"/>
      <c r="G66" s="25"/>
      <c r="H66" s="25"/>
      <c r="I66" s="25"/>
      <c r="J66" s="25"/>
      <c r="K66" s="25"/>
      <c r="L66" s="26"/>
    </row>
    <row r="67" spans="1:12" ht="15.75">
      <c r="A67" s="2"/>
      <c r="B67" s="2"/>
      <c r="C67" s="42" t="s">
        <v>19</v>
      </c>
      <c r="D67" s="25"/>
      <c r="E67" s="25"/>
      <c r="F67" s="25"/>
      <c r="G67" s="25"/>
      <c r="H67" s="25"/>
      <c r="I67" s="25"/>
      <c r="J67" s="25"/>
      <c r="K67" s="10"/>
      <c r="L67" s="26"/>
    </row>
    <row r="68" spans="3:12" ht="27">
      <c r="C68" s="124" t="s">
        <v>30</v>
      </c>
      <c r="D68" s="125"/>
      <c r="E68" s="44">
        <f>J57</f>
        <v>175</v>
      </c>
      <c r="F68" s="25"/>
      <c r="G68" s="143" t="str">
        <f>IF(I37=0,C68&amp;E68&amp;"'","")</f>
        <v>Length of Need (w/o Flare) = 175'</v>
      </c>
      <c r="H68" s="143"/>
      <c r="I68" s="143"/>
      <c r="J68" s="143"/>
      <c r="K68" s="143"/>
      <c r="L68" s="26"/>
    </row>
    <row r="69" spans="3:12" ht="15.75">
      <c r="C69" s="20"/>
      <c r="D69" s="27"/>
      <c r="E69" s="27"/>
      <c r="F69" s="27"/>
      <c r="G69" s="27"/>
      <c r="H69" s="27"/>
      <c r="I69" s="27"/>
      <c r="J69" s="27"/>
      <c r="K69" s="27"/>
      <c r="L69" s="28"/>
    </row>
    <row r="70" ht="30.75" customHeight="1">
      <c r="C70" s="2"/>
    </row>
  </sheetData>
  <sheetProtection password="CD6E" sheet="1" objects="1" scenarios="1" selectLockedCells="1"/>
  <mergeCells count="19">
    <mergeCell ref="C2:L2"/>
    <mergeCell ref="C3:L3"/>
    <mergeCell ref="G68:K68"/>
    <mergeCell ref="G65:K65"/>
    <mergeCell ref="C68:D68"/>
    <mergeCell ref="D56:I56"/>
    <mergeCell ref="D55:I55"/>
    <mergeCell ref="C5:G5"/>
    <mergeCell ref="C30:I30"/>
    <mergeCell ref="C36:I36"/>
    <mergeCell ref="D39:H39"/>
    <mergeCell ref="C65:D65"/>
    <mergeCell ref="C63:J63"/>
    <mergeCell ref="C59:J59"/>
    <mergeCell ref="C60:I60"/>
    <mergeCell ref="C61:I61"/>
    <mergeCell ref="C53:J53"/>
    <mergeCell ref="D57:I57"/>
    <mergeCell ref="C54:J54"/>
  </mergeCells>
  <printOptions horizontalCentered="1" verticalCentered="1"/>
  <pageMargins left="0.67" right="0.23" top="0.2" bottom="0.2" header="0.17" footer="0.2"/>
  <pageSetup fitToHeight="1" fitToWidth="1" horizontalDpi="1200" verticalDpi="1200" orientation="landscape" scale="88" r:id="rId5"/>
  <drawing r:id="rId4"/>
  <legacyDrawing r:id="rId3"/>
  <oleObjects>
    <oleObject progId="Canvas.Drawing.X" shapeId="85894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showGridLines="0" showRowColHeaders="0" view="pageBreakPreview" zoomScaleSheetLayoutView="100" workbookViewId="0" topLeftCell="A1">
      <selection activeCell="I6" sqref="I6"/>
    </sheetView>
  </sheetViews>
  <sheetFormatPr defaultColWidth="11.375" defaultRowHeight="12.75"/>
  <cols>
    <col min="1" max="1" width="1.75390625" style="0" customWidth="1"/>
    <col min="2" max="2" width="8.25390625" style="0" customWidth="1"/>
    <col min="3" max="3" width="8.875" style="1" customWidth="1"/>
    <col min="4" max="10" width="13.375" style="0" customWidth="1"/>
    <col min="11" max="11" width="20.25390625" style="0" customWidth="1"/>
    <col min="12" max="12" width="22.75390625" style="0" customWidth="1"/>
    <col min="13" max="13" width="11.375" style="0" customWidth="1"/>
    <col min="14" max="14" width="10.375" style="0" customWidth="1"/>
  </cols>
  <sheetData>
    <row r="1" ht="5.25" customHeight="1"/>
    <row r="2" spans="3:12" ht="27">
      <c r="C2" s="141" t="s">
        <v>35</v>
      </c>
      <c r="D2" s="141"/>
      <c r="E2" s="141"/>
      <c r="F2" s="141"/>
      <c r="G2" s="141"/>
      <c r="H2" s="141"/>
      <c r="I2" s="141"/>
      <c r="J2" s="141"/>
      <c r="K2" s="141"/>
      <c r="L2" s="141"/>
    </row>
    <row r="3" spans="3:12" ht="18.75">
      <c r="C3" s="142" t="s">
        <v>81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3:12" ht="26.25" customHeight="1"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5:12" s="23" customFormat="1" ht="19.5">
      <c r="E5" s="147" t="s">
        <v>23</v>
      </c>
      <c r="F5" s="148"/>
      <c r="G5" s="148"/>
      <c r="H5" s="148"/>
      <c r="I5" s="149"/>
      <c r="J5" s="53"/>
      <c r="L5" s="24"/>
    </row>
    <row r="6" spans="5:12" s="23" customFormat="1" ht="14.25">
      <c r="E6" s="158" t="s">
        <v>7</v>
      </c>
      <c r="F6" s="159"/>
      <c r="G6" s="159"/>
      <c r="H6" s="160"/>
      <c r="I6" s="109">
        <v>2000</v>
      </c>
      <c r="L6" s="24"/>
    </row>
    <row r="7" spans="5:12" s="23" customFormat="1" ht="14.25">
      <c r="E7" s="158" t="s">
        <v>8</v>
      </c>
      <c r="F7" s="159"/>
      <c r="G7" s="159"/>
      <c r="H7" s="160"/>
      <c r="I7" s="109">
        <v>55</v>
      </c>
      <c r="L7" s="24"/>
    </row>
    <row r="8" spans="5:12" s="23" customFormat="1" ht="14.25">
      <c r="E8" s="150" t="s">
        <v>18</v>
      </c>
      <c r="F8" s="151"/>
      <c r="G8" s="151"/>
      <c r="H8" s="152"/>
      <c r="I8" s="105">
        <f>HLOOKUP(I6,'[1]Lr Table'!B5:F12,J53)</f>
        <v>345</v>
      </c>
      <c r="L8" s="24"/>
    </row>
    <row r="9" ht="30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M25" t="s">
        <v>50</v>
      </c>
    </row>
    <row r="26" ht="12.75"/>
    <row r="27" ht="12.75"/>
    <row r="28" ht="12.75"/>
    <row r="29" ht="47.25" customHeight="1"/>
    <row r="30" spans="3:10" ht="19.5">
      <c r="C30" s="147" t="s">
        <v>37</v>
      </c>
      <c r="D30" s="148"/>
      <c r="E30" s="148"/>
      <c r="F30" s="148"/>
      <c r="G30" s="148"/>
      <c r="H30" s="148"/>
      <c r="I30" s="149"/>
      <c r="J30" s="53"/>
    </row>
    <row r="31" spans="3:9" s="54" customFormat="1" ht="18" customHeight="1">
      <c r="C31" s="106" t="s">
        <v>91</v>
      </c>
      <c r="D31" s="158" t="s">
        <v>39</v>
      </c>
      <c r="E31" s="159"/>
      <c r="F31" s="159"/>
      <c r="G31" s="159"/>
      <c r="H31" s="160"/>
      <c r="I31" s="101">
        <v>2500</v>
      </c>
    </row>
    <row r="32" spans="3:9" ht="18" customHeight="1">
      <c r="C32" s="106" t="s">
        <v>93</v>
      </c>
      <c r="D32" s="162" t="s">
        <v>16</v>
      </c>
      <c r="E32" s="163"/>
      <c r="F32" s="163"/>
      <c r="G32" s="163"/>
      <c r="H32" s="164"/>
      <c r="I32" s="102">
        <v>20</v>
      </c>
    </row>
    <row r="33" spans="3:9" ht="18" customHeight="1">
      <c r="C33" s="107" t="s">
        <v>92</v>
      </c>
      <c r="D33" s="150" t="s">
        <v>27</v>
      </c>
      <c r="E33" s="151"/>
      <c r="F33" s="151"/>
      <c r="G33" s="151"/>
      <c r="H33" s="152"/>
      <c r="I33" s="102">
        <v>8</v>
      </c>
    </row>
    <row r="34" spans="3:9" ht="18" customHeight="1">
      <c r="C34" s="108" t="s">
        <v>94</v>
      </c>
      <c r="D34" s="150" t="s">
        <v>95</v>
      </c>
      <c r="E34" s="151"/>
      <c r="F34" s="151"/>
      <c r="G34" s="151"/>
      <c r="H34" s="152"/>
      <c r="I34" s="102">
        <v>26</v>
      </c>
    </row>
    <row r="35" spans="3:8" ht="12.75">
      <c r="C35"/>
      <c r="D35" s="161" t="s">
        <v>54</v>
      </c>
      <c r="E35" s="161"/>
      <c r="F35" s="161"/>
      <c r="G35" s="161"/>
      <c r="H35" s="161"/>
    </row>
    <row r="36" ht="9.75" customHeight="1"/>
    <row r="37" ht="12.75">
      <c r="C37"/>
    </row>
    <row r="38" ht="12.75">
      <c r="C38" s="97" t="s">
        <v>87</v>
      </c>
    </row>
    <row r="39" ht="12.75">
      <c r="C39"/>
    </row>
    <row r="40" ht="12.75"/>
    <row r="41" ht="303.75" customHeight="1"/>
    <row r="42" spans="3:12" ht="27">
      <c r="C42" s="135" t="s">
        <v>21</v>
      </c>
      <c r="D42" s="136"/>
      <c r="E42" s="136"/>
      <c r="F42" s="136"/>
      <c r="G42" s="136"/>
      <c r="H42" s="136"/>
      <c r="I42" s="136"/>
      <c r="J42" s="136"/>
      <c r="K42" s="38"/>
      <c r="L42" s="63"/>
    </row>
    <row r="43" spans="3:12" ht="19.5" customHeight="1">
      <c r="C43" s="129" t="s">
        <v>49</v>
      </c>
      <c r="D43" s="130"/>
      <c r="E43" s="130"/>
      <c r="F43" s="130"/>
      <c r="G43" s="130"/>
      <c r="H43" s="130"/>
      <c r="I43" s="130"/>
      <c r="J43" s="130"/>
      <c r="K43" s="64"/>
      <c r="L43" s="26"/>
    </row>
    <row r="44" spans="3:12" ht="19.5" customHeight="1">
      <c r="C44" s="56" t="s">
        <v>40</v>
      </c>
      <c r="D44" s="153" t="s">
        <v>45</v>
      </c>
      <c r="E44" s="154"/>
      <c r="F44" s="154"/>
      <c r="G44" s="154"/>
      <c r="H44" s="154"/>
      <c r="I44" s="155"/>
      <c r="J44" s="58">
        <f>SQRT((I31+J48)^2-I31^2)</f>
        <v>316.85959035509717</v>
      </c>
      <c r="K44" s="64"/>
      <c r="L44" s="26"/>
    </row>
    <row r="45" spans="3:12" ht="19.5" customHeight="1">
      <c r="C45" s="56" t="s">
        <v>41</v>
      </c>
      <c r="D45" s="153" t="s">
        <v>47</v>
      </c>
      <c r="E45" s="154"/>
      <c r="F45" s="154"/>
      <c r="G45" s="154"/>
      <c r="H45" s="154"/>
      <c r="I45" s="155"/>
      <c r="J45" s="70">
        <f>IF(J44&lt;=I8,ATAN(J44/I31),ATAN(I8/I31))/(2*PI())*360</f>
        <v>7.223372448192334</v>
      </c>
      <c r="K45" s="64"/>
      <c r="L45" s="26"/>
    </row>
    <row r="46" spans="3:12" ht="19.5" customHeight="1">
      <c r="C46" s="56" t="s">
        <v>42</v>
      </c>
      <c r="D46" s="153" t="s">
        <v>48</v>
      </c>
      <c r="E46" s="154"/>
      <c r="F46" s="154"/>
      <c r="G46" s="154"/>
      <c r="H46" s="154"/>
      <c r="I46" s="155"/>
      <c r="J46" s="58">
        <f>ACOS(I31/(I31+I33))/(2*PI())*360</f>
        <v>4.577563395874522</v>
      </c>
      <c r="K46" s="64"/>
      <c r="L46" s="26"/>
    </row>
    <row r="47" spans="3:12" ht="19.5" customHeight="1">
      <c r="C47" s="56" t="s">
        <v>43</v>
      </c>
      <c r="D47" s="153" t="str">
        <f>"= Angle 1 - Angle 2, degrees:"</f>
        <v>= Angle 1 - Angle 2, degrees:</v>
      </c>
      <c r="E47" s="154"/>
      <c r="F47" s="154"/>
      <c r="G47" s="154"/>
      <c r="H47" s="154"/>
      <c r="I47" s="155"/>
      <c r="J47" s="58">
        <f>J45-J46</f>
        <v>2.645809052317812</v>
      </c>
      <c r="K47" s="64"/>
      <c r="L47" s="26"/>
    </row>
    <row r="48" spans="3:12" ht="15.75" customHeight="1">
      <c r="C48" s="57" t="s">
        <v>44</v>
      </c>
      <c r="D48" s="144" t="s">
        <v>84</v>
      </c>
      <c r="E48" s="145"/>
      <c r="F48" s="145"/>
      <c r="G48" s="145"/>
      <c r="H48" s="145"/>
      <c r="I48" s="146"/>
      <c r="J48" s="59">
        <f>MIN(I32,I34)</f>
        <v>20</v>
      </c>
      <c r="K48" s="64"/>
      <c r="L48" s="26"/>
    </row>
    <row r="49" spans="1:12" s="22" customFormat="1" ht="15.75">
      <c r="A49"/>
      <c r="B49"/>
      <c r="C49" s="32" t="s">
        <v>0</v>
      </c>
      <c r="D49" s="132" t="s">
        <v>51</v>
      </c>
      <c r="E49" s="133"/>
      <c r="F49" s="133"/>
      <c r="G49" s="133"/>
      <c r="H49" s="133"/>
      <c r="I49" s="134"/>
      <c r="J49" s="60">
        <f>(J47/180)*PI()*(I31+I33)</f>
        <v>115.81462298977794</v>
      </c>
      <c r="K49" s="65"/>
      <c r="L49" s="66"/>
    </row>
    <row r="50" spans="3:12" ht="15.75">
      <c r="C50" s="32"/>
      <c r="D50" s="138" t="s">
        <v>46</v>
      </c>
      <c r="E50" s="139"/>
      <c r="F50" s="139"/>
      <c r="G50" s="139"/>
      <c r="H50" s="139"/>
      <c r="I50" s="140"/>
      <c r="J50" s="61">
        <f>12.5*(INT((J49+11.5)/12.5))</f>
        <v>125</v>
      </c>
      <c r="K50" s="64"/>
      <c r="L50" s="26"/>
    </row>
    <row r="51" spans="3:12" ht="14.25" customHeight="1">
      <c r="C51" s="42"/>
      <c r="D51" s="25"/>
      <c r="E51" s="25"/>
      <c r="F51" s="25"/>
      <c r="G51" s="25"/>
      <c r="H51" s="25"/>
      <c r="I51" s="25"/>
      <c r="J51" s="25"/>
      <c r="K51" s="42"/>
      <c r="L51" s="11"/>
    </row>
    <row r="52" spans="3:12" ht="22.5">
      <c r="C52" s="129" t="s">
        <v>24</v>
      </c>
      <c r="D52" s="130"/>
      <c r="E52" s="130"/>
      <c r="F52" s="130"/>
      <c r="G52" s="130"/>
      <c r="H52" s="130"/>
      <c r="I52" s="130"/>
      <c r="J52" s="130"/>
      <c r="K52" s="42"/>
      <c r="L52" s="11"/>
    </row>
    <row r="53" spans="3:12" ht="15.75">
      <c r="C53" s="132" t="s">
        <v>25</v>
      </c>
      <c r="D53" s="133"/>
      <c r="E53" s="133"/>
      <c r="F53" s="133"/>
      <c r="G53" s="133"/>
      <c r="H53" s="133"/>
      <c r="I53" s="134"/>
      <c r="J53" s="32">
        <f>IF(I7&lt;=30,2,IF(OR(I7=35,I7=40),3,IF(I7=45,4,IF(I7=50,5,IF(I7=55,6,IF(I7=60,7,IF(OR(I7=65,I7=70),8,"error")))))))</f>
        <v>6</v>
      </c>
      <c r="K53" s="42"/>
      <c r="L53" s="11"/>
    </row>
    <row r="54" spans="3:12" ht="15.75">
      <c r="C54" s="132"/>
      <c r="D54" s="133"/>
      <c r="E54" s="133"/>
      <c r="F54" s="133"/>
      <c r="G54" s="133"/>
      <c r="H54" s="133"/>
      <c r="I54" s="134"/>
      <c r="J54" s="62"/>
      <c r="K54" s="42"/>
      <c r="L54" s="11"/>
    </row>
    <row r="55" spans="3:12" ht="14.25" customHeight="1">
      <c r="C55" s="43"/>
      <c r="D55" s="3"/>
      <c r="E55" s="3"/>
      <c r="F55" s="3"/>
      <c r="G55" s="3"/>
      <c r="H55" s="3"/>
      <c r="I55" s="3"/>
      <c r="J55" s="3"/>
      <c r="K55" s="67"/>
      <c r="L55" s="68"/>
    </row>
    <row r="56" spans="3:12" ht="22.5">
      <c r="C56" s="126" t="s">
        <v>26</v>
      </c>
      <c r="D56" s="127"/>
      <c r="E56" s="127"/>
      <c r="F56" s="127"/>
      <c r="G56" s="127"/>
      <c r="H56" s="127"/>
      <c r="I56" s="127"/>
      <c r="J56" s="127"/>
      <c r="K56" s="156"/>
      <c r="L56" s="157"/>
    </row>
    <row r="57" spans="1:12" ht="15.75">
      <c r="A57" s="2"/>
      <c r="B57" s="2"/>
      <c r="C57" s="42" t="s">
        <v>19</v>
      </c>
      <c r="D57" s="25"/>
      <c r="E57" s="25"/>
      <c r="F57" s="25"/>
      <c r="G57" s="25"/>
      <c r="H57" s="25"/>
      <c r="I57" s="25"/>
      <c r="J57" s="25"/>
      <c r="K57" s="10"/>
      <c r="L57" s="26"/>
    </row>
    <row r="58" spans="3:12" ht="27">
      <c r="C58" s="124" t="s">
        <v>34</v>
      </c>
      <c r="D58" s="125"/>
      <c r="E58" s="44">
        <f>J50</f>
        <v>125</v>
      </c>
      <c r="F58" s="25"/>
      <c r="G58" s="143" t="str">
        <f>IF(J40=0,C58&amp;E58&amp;"'","")</f>
        <v>Length of Need = 125'</v>
      </c>
      <c r="H58" s="143"/>
      <c r="I58" s="143"/>
      <c r="J58" s="143"/>
      <c r="K58" s="143"/>
      <c r="L58" s="26"/>
    </row>
    <row r="59" spans="3:12" ht="15.75">
      <c r="C59" s="20"/>
      <c r="D59" s="27"/>
      <c r="E59" s="27"/>
      <c r="F59" s="27"/>
      <c r="G59" s="27"/>
      <c r="H59" s="27"/>
      <c r="I59" s="27"/>
      <c r="J59" s="27"/>
      <c r="K59" s="27"/>
      <c r="L59" s="28"/>
    </row>
    <row r="60" ht="30.75" customHeight="1">
      <c r="C60" s="2"/>
    </row>
  </sheetData>
  <sheetProtection password="CD6E" sheet="1" objects="1" scenarios="1" selectLockedCells="1"/>
  <mergeCells count="27">
    <mergeCell ref="D33:H33"/>
    <mergeCell ref="C58:D58"/>
    <mergeCell ref="G58:K58"/>
    <mergeCell ref="D48:I48"/>
    <mergeCell ref="D49:I49"/>
    <mergeCell ref="D50:I50"/>
    <mergeCell ref="C52:J52"/>
    <mergeCell ref="C2:L2"/>
    <mergeCell ref="C3:L3"/>
    <mergeCell ref="E5:I5"/>
    <mergeCell ref="C30:I30"/>
    <mergeCell ref="D34:H34"/>
    <mergeCell ref="C42:J42"/>
    <mergeCell ref="E6:H6"/>
    <mergeCell ref="E7:H7"/>
    <mergeCell ref="D35:H35"/>
    <mergeCell ref="D32:H32"/>
    <mergeCell ref="E8:H8"/>
    <mergeCell ref="D44:I44"/>
    <mergeCell ref="D45:I45"/>
    <mergeCell ref="D46:I46"/>
    <mergeCell ref="D47:I47"/>
    <mergeCell ref="C56:L56"/>
    <mergeCell ref="C54:I54"/>
    <mergeCell ref="C53:I53"/>
    <mergeCell ref="C43:J43"/>
    <mergeCell ref="D31:H31"/>
  </mergeCells>
  <printOptions horizontalCentered="1" verticalCentered="1"/>
  <pageMargins left="0.26" right="0.29" top="0.35" bottom="0.45" header="0.3" footer="0.3"/>
  <pageSetup fitToHeight="1" fitToWidth="1" horizontalDpi="1200" verticalDpi="1200" orientation="landscape" scale="88" r:id="rId5"/>
  <drawing r:id="rId4"/>
  <legacyDrawing r:id="rId3"/>
  <oleObjects>
    <oleObject progId="Canvas.Drawing.X" shapeId="881539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1"/>
  <sheetViews>
    <sheetView showGridLines="0" showRowColHeaders="0" view="pageBreakPreview" zoomScaleSheetLayoutView="100" workbookViewId="0" topLeftCell="A1">
      <selection activeCell="J7" sqref="J7"/>
    </sheetView>
  </sheetViews>
  <sheetFormatPr defaultColWidth="11.375" defaultRowHeight="12.75"/>
  <cols>
    <col min="1" max="1" width="1.75390625" style="0" customWidth="1"/>
    <col min="2" max="2" width="2.75390625" style="0" customWidth="1"/>
    <col min="3" max="3" width="8.875" style="1" customWidth="1"/>
    <col min="4" max="10" width="13.375" style="0" customWidth="1"/>
    <col min="11" max="11" width="20.25390625" style="0" customWidth="1"/>
    <col min="12" max="12" width="23.125" style="0" customWidth="1"/>
    <col min="13" max="13" width="11.375" style="0" customWidth="1"/>
    <col min="14" max="14" width="10.375" style="0" customWidth="1"/>
  </cols>
  <sheetData>
    <row r="1" ht="5.25" customHeight="1"/>
    <row r="2" spans="3:12" ht="27">
      <c r="C2" s="141" t="s">
        <v>36</v>
      </c>
      <c r="D2" s="141"/>
      <c r="E2" s="141"/>
      <c r="F2" s="141"/>
      <c r="G2" s="141"/>
      <c r="H2" s="141"/>
      <c r="I2" s="141"/>
      <c r="J2" s="141"/>
      <c r="K2" s="141"/>
      <c r="L2" s="141"/>
    </row>
    <row r="3" spans="3:12" ht="18.75">
      <c r="C3" s="142" t="s">
        <v>80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3:14" s="50" customFormat="1" ht="12.75" customHeight="1">
      <c r="C4" s="51"/>
      <c r="E4" s="168" t="s">
        <v>53</v>
      </c>
      <c r="F4" s="168"/>
      <c r="G4" s="168"/>
      <c r="H4" s="168"/>
      <c r="I4" s="168"/>
      <c r="J4" s="168"/>
      <c r="K4" s="168"/>
      <c r="L4" s="51"/>
      <c r="N4" s="83"/>
    </row>
    <row r="5" spans="3:12" s="50" customFormat="1" ht="15"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5:12" s="23" customFormat="1" ht="22.5">
      <c r="E6" s="165" t="s">
        <v>23</v>
      </c>
      <c r="F6" s="166"/>
      <c r="G6" s="166"/>
      <c r="H6" s="166"/>
      <c r="I6" s="166"/>
      <c r="J6" s="167"/>
      <c r="L6" s="24"/>
    </row>
    <row r="7" spans="5:12" s="23" customFormat="1" ht="14.25">
      <c r="E7" s="158" t="s">
        <v>7</v>
      </c>
      <c r="F7" s="159"/>
      <c r="G7" s="159"/>
      <c r="H7" s="159"/>
      <c r="I7" s="160"/>
      <c r="J7" s="120">
        <v>2000</v>
      </c>
      <c r="L7" s="24"/>
    </row>
    <row r="8" spans="5:12" s="23" customFormat="1" ht="14.25">
      <c r="E8" s="158" t="s">
        <v>8</v>
      </c>
      <c r="F8" s="159"/>
      <c r="G8" s="159"/>
      <c r="H8" s="159"/>
      <c r="I8" s="160"/>
      <c r="J8" s="120">
        <v>55</v>
      </c>
      <c r="L8" s="24"/>
    </row>
    <row r="9" spans="5:12" s="23" customFormat="1" ht="14.25">
      <c r="E9" s="150" t="s">
        <v>18</v>
      </c>
      <c r="F9" s="151"/>
      <c r="G9" s="151"/>
      <c r="H9" s="151"/>
      <c r="I9" s="152"/>
      <c r="J9" s="121">
        <f>HLOOKUP(J7,'[1]Lr Table'!B5:F12,J50)</f>
        <v>345</v>
      </c>
      <c r="L9" s="24"/>
    </row>
    <row r="10" ht="31.5" customHeight="1"/>
    <row r="11" ht="12.75"/>
    <row r="12" ht="12.75"/>
    <row r="13" ht="12.75"/>
    <row r="14" ht="12.75"/>
    <row r="15" ht="12.75"/>
    <row r="16" ht="12.75"/>
    <row r="17" ht="12.75"/>
    <row r="18" ht="12.75"/>
    <row r="19" ht="36" customHeight="1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24" customHeight="1"/>
    <row r="31" spans="3:10" ht="22.5">
      <c r="C31" s="165" t="s">
        <v>37</v>
      </c>
      <c r="D31" s="166"/>
      <c r="E31" s="166"/>
      <c r="F31" s="166"/>
      <c r="G31" s="166"/>
      <c r="H31" s="166"/>
      <c r="I31" s="167"/>
      <c r="J31" s="55"/>
    </row>
    <row r="32" spans="3:9" ht="15" customHeight="1">
      <c r="C32" s="116" t="s">
        <v>88</v>
      </c>
      <c r="D32" s="158" t="s">
        <v>16</v>
      </c>
      <c r="E32" s="159"/>
      <c r="F32" s="159"/>
      <c r="G32" s="159"/>
      <c r="H32" s="160"/>
      <c r="I32" s="117">
        <v>20</v>
      </c>
    </row>
    <row r="33" spans="3:9" ht="15">
      <c r="C33" s="118" t="s">
        <v>89</v>
      </c>
      <c r="D33" s="150" t="s">
        <v>27</v>
      </c>
      <c r="E33" s="151"/>
      <c r="F33" s="151"/>
      <c r="G33" s="151"/>
      <c r="H33" s="152"/>
      <c r="I33" s="117">
        <v>8</v>
      </c>
    </row>
    <row r="34" spans="3:9" ht="15">
      <c r="C34" s="119" t="s">
        <v>90</v>
      </c>
      <c r="D34" s="150" t="s">
        <v>86</v>
      </c>
      <c r="E34" s="151"/>
      <c r="F34" s="151"/>
      <c r="G34" s="151"/>
      <c r="H34" s="152"/>
      <c r="I34" s="117">
        <v>26</v>
      </c>
    </row>
    <row r="35" spans="3:9" ht="15">
      <c r="C35" s="119" t="s">
        <v>85</v>
      </c>
      <c r="D35" s="150" t="s">
        <v>17</v>
      </c>
      <c r="E35" s="151"/>
      <c r="F35" s="151"/>
      <c r="G35" s="151"/>
      <c r="H35" s="152"/>
      <c r="I35" s="117">
        <v>1.8</v>
      </c>
    </row>
    <row r="36" spans="4:8" ht="12.75">
      <c r="D36" s="161" t="s">
        <v>54</v>
      </c>
      <c r="E36" s="161"/>
      <c r="F36" s="161"/>
      <c r="G36" s="161"/>
      <c r="H36" s="161"/>
    </row>
    <row r="37" ht="12.75">
      <c r="C37"/>
    </row>
    <row r="38" ht="12.75">
      <c r="C38"/>
    </row>
    <row r="39" ht="15" customHeight="1">
      <c r="C39" s="97" t="s">
        <v>87</v>
      </c>
    </row>
    <row r="40" ht="15.75" customHeight="1"/>
    <row r="41" ht="90.75" customHeight="1"/>
    <row r="42" ht="90.75" customHeight="1"/>
    <row r="43" spans="3:12" ht="24.75" customHeight="1">
      <c r="C43" s="135" t="s">
        <v>52</v>
      </c>
      <c r="D43" s="136"/>
      <c r="E43" s="136"/>
      <c r="F43" s="136"/>
      <c r="G43" s="136"/>
      <c r="H43" s="136"/>
      <c r="I43" s="136"/>
      <c r="J43" s="136"/>
      <c r="K43" s="38"/>
      <c r="L43" s="63"/>
    </row>
    <row r="44" spans="3:12" ht="24.75" customHeight="1">
      <c r="C44" s="169" t="s">
        <v>22</v>
      </c>
      <c r="D44" s="170"/>
      <c r="E44" s="170"/>
      <c r="F44" s="170"/>
      <c r="G44" s="170"/>
      <c r="H44" s="170"/>
      <c r="I44" s="170"/>
      <c r="J44" s="170"/>
      <c r="K44" s="64"/>
      <c r="L44" s="26"/>
    </row>
    <row r="45" spans="3:12" ht="24.75" customHeight="1">
      <c r="C45" s="72"/>
      <c r="D45" s="171" t="s">
        <v>84</v>
      </c>
      <c r="E45" s="172"/>
      <c r="F45" s="172"/>
      <c r="G45" s="172"/>
      <c r="H45" s="172"/>
      <c r="I45" s="173"/>
      <c r="J45" s="74">
        <f>MIN(I32,I34)</f>
        <v>20</v>
      </c>
      <c r="K45" s="64"/>
      <c r="L45" s="26"/>
    </row>
    <row r="46" spans="3:12" ht="24.75" customHeight="1">
      <c r="C46" s="73" t="s">
        <v>0</v>
      </c>
      <c r="D46" s="174" t="s">
        <v>13</v>
      </c>
      <c r="E46" s="175"/>
      <c r="F46" s="175"/>
      <c r="G46" s="175"/>
      <c r="H46" s="175"/>
      <c r="I46" s="176"/>
      <c r="J46" s="75">
        <f>(J45-I33-I35)/(J45/J9)</f>
        <v>175.95</v>
      </c>
      <c r="K46" s="65"/>
      <c r="L46" s="66"/>
    </row>
    <row r="47" spans="3:12" ht="24.75" customHeight="1">
      <c r="C47" s="73"/>
      <c r="D47" s="177" t="s">
        <v>12</v>
      </c>
      <c r="E47" s="178"/>
      <c r="F47" s="178"/>
      <c r="G47" s="178"/>
      <c r="H47" s="178"/>
      <c r="I47" s="179"/>
      <c r="J47" s="76">
        <f>12.5*(INT((J46+11.5)/12.5))</f>
        <v>175</v>
      </c>
      <c r="K47" s="64"/>
      <c r="L47" s="26"/>
    </row>
    <row r="48" spans="3:12" ht="24.75" customHeight="1">
      <c r="C48" s="42"/>
      <c r="D48" s="25"/>
      <c r="E48" s="25"/>
      <c r="F48" s="25"/>
      <c r="G48" s="25"/>
      <c r="H48" s="25"/>
      <c r="I48" s="25"/>
      <c r="J48" s="25"/>
      <c r="K48" s="42"/>
      <c r="L48" s="11"/>
    </row>
    <row r="49" spans="3:12" ht="24.75" customHeight="1">
      <c r="C49" s="169" t="s">
        <v>66</v>
      </c>
      <c r="D49" s="170"/>
      <c r="E49" s="170"/>
      <c r="F49" s="170"/>
      <c r="G49" s="170"/>
      <c r="H49" s="170"/>
      <c r="I49" s="170"/>
      <c r="J49" s="170"/>
      <c r="K49" s="42"/>
      <c r="L49" s="11"/>
    </row>
    <row r="50" spans="3:12" ht="24.75" customHeight="1">
      <c r="C50" s="174" t="s">
        <v>25</v>
      </c>
      <c r="D50" s="175"/>
      <c r="E50" s="175"/>
      <c r="F50" s="175"/>
      <c r="G50" s="175"/>
      <c r="H50" s="175"/>
      <c r="I50" s="176"/>
      <c r="J50" s="80">
        <f>IF(J8&lt;=30,2,IF(OR(J8=35,J8=40),3,IF(J8=45,4,IF(J8=50,5,IF(J8=55,6,IF(J8=60,7,IF(OR(J8=65,J8=70),8,"error")))))))</f>
        <v>6</v>
      </c>
      <c r="K50" s="42"/>
      <c r="L50" s="11"/>
    </row>
    <row r="51" spans="3:12" ht="24.75" customHeight="1">
      <c r="C51" s="77"/>
      <c r="D51" s="71"/>
      <c r="E51" s="71"/>
      <c r="F51" s="71"/>
      <c r="G51" s="71"/>
      <c r="H51" s="71"/>
      <c r="I51" s="71"/>
      <c r="J51" s="80"/>
      <c r="K51" s="42"/>
      <c r="L51" s="11"/>
    </row>
    <row r="52" spans="3:12" ht="24.75" customHeight="1">
      <c r="C52" s="169" t="s">
        <v>79</v>
      </c>
      <c r="D52" s="180"/>
      <c r="E52" s="180"/>
      <c r="F52" s="180"/>
      <c r="G52" s="180"/>
      <c r="H52" s="180"/>
      <c r="I52" s="181"/>
      <c r="J52" s="84" t="s">
        <v>67</v>
      </c>
      <c r="K52" s="42"/>
      <c r="L52" s="11"/>
    </row>
    <row r="53" spans="3:12" ht="24.75" customHeight="1">
      <c r="C53" s="96" t="s">
        <v>38</v>
      </c>
      <c r="D53" s="77" t="s">
        <v>78</v>
      </c>
      <c r="E53" s="71"/>
      <c r="F53" s="71"/>
      <c r="G53" s="71"/>
      <c r="H53" s="71"/>
      <c r="I53" s="95"/>
      <c r="J53" s="122">
        <v>1660</v>
      </c>
      <c r="K53" s="42"/>
      <c r="L53" s="11"/>
    </row>
    <row r="54" spans="3:12" ht="24.75" customHeight="1">
      <c r="C54" s="78" t="s">
        <v>55</v>
      </c>
      <c r="D54" s="79" t="s">
        <v>64</v>
      </c>
      <c r="E54" s="79"/>
      <c r="F54" s="79"/>
      <c r="G54" s="79"/>
      <c r="H54" s="79"/>
      <c r="I54" s="79"/>
      <c r="J54" s="81">
        <f>(180*J47)/(PI()*(J53-I33))</f>
        <v>6.06946816875872</v>
      </c>
      <c r="K54" s="42"/>
      <c r="L54" s="11"/>
    </row>
    <row r="55" spans="3:12" ht="24.75" customHeight="1">
      <c r="C55" s="78" t="s">
        <v>56</v>
      </c>
      <c r="D55" s="174" t="s">
        <v>61</v>
      </c>
      <c r="E55" s="175"/>
      <c r="F55" s="175"/>
      <c r="G55" s="175"/>
      <c r="H55" s="175"/>
      <c r="I55" s="176"/>
      <c r="J55" s="81">
        <f>SQRT(((J53-J45)^2+(J53-I33-I35)^2)-(2*(J53-J45)*(J53-I33-I35)*COS(J54*PI()/180)))</f>
        <v>174.4851489477319</v>
      </c>
      <c r="K55" s="82"/>
      <c r="L55" s="11"/>
    </row>
    <row r="56" spans="3:12" ht="24.75" customHeight="1">
      <c r="C56" s="78" t="s">
        <v>57</v>
      </c>
      <c r="D56" s="174" t="s">
        <v>63</v>
      </c>
      <c r="E56" s="175"/>
      <c r="F56" s="175"/>
      <c r="G56" s="175"/>
      <c r="H56" s="175"/>
      <c r="I56" s="176"/>
      <c r="J56" s="81">
        <f>ASIN(((J53-J45)*SIN(J54*PI()/180)/J55))*180/PI()</f>
        <v>83.61868113159662</v>
      </c>
      <c r="K56" s="42"/>
      <c r="L56" s="11"/>
    </row>
    <row r="57" spans="3:12" ht="24.75" customHeight="1">
      <c r="C57" s="78" t="s">
        <v>58</v>
      </c>
      <c r="D57" s="174" t="s">
        <v>62</v>
      </c>
      <c r="E57" s="175"/>
      <c r="F57" s="175"/>
      <c r="G57" s="175"/>
      <c r="H57" s="175"/>
      <c r="I57" s="176"/>
      <c r="J57" s="81">
        <f>180-J56</f>
        <v>96.38131886840338</v>
      </c>
      <c r="K57" s="42"/>
      <c r="L57" s="11"/>
    </row>
    <row r="58" spans="3:12" ht="24.75" customHeight="1">
      <c r="C58" s="78" t="s">
        <v>59</v>
      </c>
      <c r="D58" s="174" t="s">
        <v>65</v>
      </c>
      <c r="E58" s="175"/>
      <c r="F58" s="175"/>
      <c r="G58" s="175"/>
      <c r="H58" s="175"/>
      <c r="I58" s="176"/>
      <c r="J58" s="81">
        <f>ASIN(((J53-I33-I35)*SIN(J57*PI()/180))/J53)*180/PI()</f>
        <v>81.09160005445678</v>
      </c>
      <c r="K58" s="42"/>
      <c r="L58" s="11"/>
    </row>
    <row r="59" spans="3:12" ht="50.25" customHeight="1">
      <c r="C59" s="78" t="s">
        <v>60</v>
      </c>
      <c r="D59" s="153" t="s">
        <v>77</v>
      </c>
      <c r="E59" s="154"/>
      <c r="F59" s="154"/>
      <c r="G59" s="154"/>
      <c r="H59" s="154"/>
      <c r="I59" s="155"/>
      <c r="J59" s="85">
        <f>90-J58</f>
        <v>8.908399945543223</v>
      </c>
      <c r="K59" s="42"/>
      <c r="L59" s="11"/>
    </row>
    <row r="60" spans="3:12" ht="24.75" customHeight="1">
      <c r="C60" s="78"/>
      <c r="D60" s="71"/>
      <c r="E60" s="71"/>
      <c r="F60" s="71"/>
      <c r="G60" s="71"/>
      <c r="H60" s="71"/>
      <c r="I60" s="71"/>
      <c r="J60" s="73"/>
      <c r="K60" s="42"/>
      <c r="L60" s="11"/>
    </row>
    <row r="61" spans="3:12" ht="24.75" customHeight="1">
      <c r="C61" s="126" t="s">
        <v>26</v>
      </c>
      <c r="D61" s="127"/>
      <c r="E61" s="127"/>
      <c r="F61" s="127"/>
      <c r="G61" s="127"/>
      <c r="H61" s="127"/>
      <c r="I61" s="127"/>
      <c r="J61" s="127"/>
      <c r="K61" s="67"/>
      <c r="L61" s="68"/>
    </row>
    <row r="62" spans="3:12" ht="9.75" customHeight="1">
      <c r="C62" s="38"/>
      <c r="D62" s="31"/>
      <c r="E62" s="39"/>
      <c r="F62" s="39"/>
      <c r="G62" s="39"/>
      <c r="H62" s="18"/>
      <c r="I62" s="18"/>
      <c r="J62" s="18"/>
      <c r="K62" s="25"/>
      <c r="L62" s="11"/>
    </row>
    <row r="63" spans="3:12" ht="24.75" customHeight="1">
      <c r="C63" s="124" t="s">
        <v>34</v>
      </c>
      <c r="D63" s="125"/>
      <c r="E63" s="44">
        <f>J47</f>
        <v>175</v>
      </c>
      <c r="F63" s="25"/>
      <c r="G63" s="143" t="str">
        <f>IF(J17=0,C63&amp;E63&amp;"'","")</f>
        <v>Length of Need = 175'</v>
      </c>
      <c r="H63" s="143"/>
      <c r="I63" s="143"/>
      <c r="J63" s="143"/>
      <c r="K63" s="143"/>
      <c r="L63" s="11"/>
    </row>
    <row r="64" spans="3:12" ht="8.25" customHeight="1">
      <c r="C64" s="67"/>
      <c r="D64" s="27"/>
      <c r="E64" s="27"/>
      <c r="F64" s="27"/>
      <c r="G64" s="27"/>
      <c r="H64" s="27"/>
      <c r="I64" s="27"/>
      <c r="J64" s="27"/>
      <c r="K64" s="27"/>
      <c r="L64" s="28"/>
    </row>
    <row r="65" ht="24.75" customHeight="1"/>
    <row r="66" spans="3:9" ht="24.75" customHeight="1">
      <c r="C66" s="169" t="s">
        <v>74</v>
      </c>
      <c r="D66" s="170"/>
      <c r="E66" s="170"/>
      <c r="F66" s="170"/>
      <c r="G66" s="170"/>
      <c r="H66" s="170"/>
      <c r="I66" s="185"/>
    </row>
    <row r="67" spans="3:9" ht="15">
      <c r="C67" s="89" t="s">
        <v>68</v>
      </c>
      <c r="D67" s="89" t="s">
        <v>69</v>
      </c>
      <c r="E67" s="90" t="s">
        <v>70</v>
      </c>
      <c r="F67" s="182" t="s">
        <v>75</v>
      </c>
      <c r="G67" s="183"/>
      <c r="H67" s="184" t="s">
        <v>76</v>
      </c>
      <c r="I67" s="184"/>
    </row>
    <row r="68" spans="3:9" ht="15">
      <c r="C68" s="87"/>
      <c r="D68" s="87"/>
      <c r="E68" s="91" t="s">
        <v>71</v>
      </c>
      <c r="F68" s="88" t="s">
        <v>72</v>
      </c>
      <c r="G68" s="88" t="s">
        <v>73</v>
      </c>
      <c r="H68" s="88" t="s">
        <v>72</v>
      </c>
      <c r="I68" s="88" t="s">
        <v>73</v>
      </c>
    </row>
    <row r="69" spans="3:9" ht="12.75">
      <c r="C69" s="92">
        <v>65</v>
      </c>
      <c r="D69" s="45">
        <v>1660</v>
      </c>
      <c r="E69" s="45">
        <v>360</v>
      </c>
      <c r="F69" s="45">
        <v>50</v>
      </c>
      <c r="G69" s="45">
        <v>6.6</v>
      </c>
      <c r="H69" s="45">
        <v>250</v>
      </c>
      <c r="I69" s="45">
        <v>10.9</v>
      </c>
    </row>
    <row r="70" spans="3:9" ht="12.75">
      <c r="C70" s="93">
        <v>55</v>
      </c>
      <c r="D70" s="48">
        <v>1060</v>
      </c>
      <c r="E70" s="48">
        <v>280</v>
      </c>
      <c r="F70" s="48">
        <v>37.5</v>
      </c>
      <c r="G70" s="48">
        <v>8.3</v>
      </c>
      <c r="H70" s="48">
        <v>200</v>
      </c>
      <c r="I70" s="48">
        <v>13.7</v>
      </c>
    </row>
    <row r="71" spans="3:9" ht="12.75">
      <c r="C71" s="93">
        <v>45</v>
      </c>
      <c r="D71" s="48">
        <v>643</v>
      </c>
      <c r="E71" s="48">
        <v>200</v>
      </c>
      <c r="F71" s="48">
        <v>25</v>
      </c>
      <c r="G71" s="48">
        <v>10.7</v>
      </c>
      <c r="H71" s="48">
        <v>137.5</v>
      </c>
      <c r="I71" s="48">
        <v>17.7</v>
      </c>
    </row>
    <row r="72" spans="3:9" ht="12.75">
      <c r="C72" s="93">
        <v>35</v>
      </c>
      <c r="D72" s="48">
        <v>340</v>
      </c>
      <c r="E72" s="48">
        <v>165</v>
      </c>
      <c r="F72" s="48">
        <v>25</v>
      </c>
      <c r="G72" s="48">
        <v>14.6</v>
      </c>
      <c r="H72" s="48">
        <v>112.5</v>
      </c>
      <c r="I72" s="48">
        <v>24.3</v>
      </c>
    </row>
    <row r="73" spans="1:13" s="22" customFormat="1" ht="15">
      <c r="A73"/>
      <c r="B73"/>
      <c r="C73"/>
      <c r="D73"/>
      <c r="E73"/>
      <c r="F73"/>
      <c r="G73"/>
      <c r="H73"/>
      <c r="I73"/>
      <c r="J73"/>
      <c r="K73"/>
      <c r="L73"/>
      <c r="M73"/>
    </row>
    <row r="74" ht="12.75">
      <c r="C74"/>
    </row>
    <row r="75" ht="12.75">
      <c r="C75"/>
    </row>
    <row r="76" ht="12.75">
      <c r="C76"/>
    </row>
    <row r="79" ht="14.25" customHeight="1"/>
    <row r="80" ht="22.5" customHeight="1"/>
    <row r="81" ht="15.75">
      <c r="A81" s="2"/>
    </row>
    <row r="82" ht="27" customHeight="1"/>
    <row r="84" ht="30.75" customHeight="1"/>
  </sheetData>
  <sheetProtection password="CD6E" sheet="1" objects="1" scenarios="1" selectLockedCells="1"/>
  <mergeCells count="32">
    <mergeCell ref="F67:G67"/>
    <mergeCell ref="H67:I67"/>
    <mergeCell ref="C66:I66"/>
    <mergeCell ref="C49:J49"/>
    <mergeCell ref="C50:I50"/>
    <mergeCell ref="C63:D63"/>
    <mergeCell ref="G63:K63"/>
    <mergeCell ref="D59:I59"/>
    <mergeCell ref="D55:I55"/>
    <mergeCell ref="D57:I57"/>
    <mergeCell ref="D58:I58"/>
    <mergeCell ref="D36:H36"/>
    <mergeCell ref="C61:J61"/>
    <mergeCell ref="D46:I46"/>
    <mergeCell ref="D47:I47"/>
    <mergeCell ref="C52:I52"/>
    <mergeCell ref="D35:H35"/>
    <mergeCell ref="C44:J44"/>
    <mergeCell ref="C43:J43"/>
    <mergeCell ref="D45:I45"/>
    <mergeCell ref="D32:H32"/>
    <mergeCell ref="D56:I56"/>
    <mergeCell ref="C2:L2"/>
    <mergeCell ref="C31:I31"/>
    <mergeCell ref="D33:H33"/>
    <mergeCell ref="D34:H34"/>
    <mergeCell ref="E7:I7"/>
    <mergeCell ref="E4:K4"/>
    <mergeCell ref="E6:J6"/>
    <mergeCell ref="C3:L3"/>
    <mergeCell ref="E8:I8"/>
    <mergeCell ref="E9:I9"/>
  </mergeCells>
  <printOptions horizontalCentered="1"/>
  <pageMargins left="0.2" right="0.23" top="0.7" bottom="0.27" header="0.49" footer="0.3"/>
  <pageSetup fitToHeight="1" fitToWidth="1" horizontalDpi="1200" verticalDpi="1200" orientation="landscape" scale="90" r:id="rId5"/>
  <drawing r:id="rId4"/>
  <legacyDrawing r:id="rId3"/>
  <oleObjects>
    <oleObject progId="Canvas.Drawing.X" shapeId="881632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H12"/>
  <sheetViews>
    <sheetView showGridLines="0" showRowColHeaders="0" zoomScalePageLayoutView="0" workbookViewId="0" topLeftCell="A1">
      <selection activeCell="D35" sqref="D35"/>
    </sheetView>
  </sheetViews>
  <sheetFormatPr defaultColWidth="9.00390625" defaultRowHeight="12.75"/>
  <cols>
    <col min="1" max="1" width="3.625" style="0" customWidth="1"/>
    <col min="2" max="6" width="10.875" style="0" customWidth="1"/>
    <col min="8" max="8" width="6.125" style="0" customWidth="1"/>
    <col min="9" max="9" width="16.625" style="0" customWidth="1"/>
    <col min="11" max="12" width="10.25390625" style="0" customWidth="1"/>
    <col min="13" max="14" width="12.375" style="0" customWidth="1"/>
    <col min="15" max="15" width="9.75390625" style="0" customWidth="1"/>
  </cols>
  <sheetData>
    <row r="2" spans="2:6" ht="22.5">
      <c r="B2" s="165" t="s">
        <v>32</v>
      </c>
      <c r="C2" s="166"/>
      <c r="D2" s="166"/>
      <c r="E2" s="166"/>
      <c r="F2" s="167"/>
    </row>
    <row r="3" spans="2:6" ht="36.75" customHeight="1">
      <c r="B3" s="14" t="s">
        <v>2</v>
      </c>
      <c r="C3" s="186" t="s">
        <v>1</v>
      </c>
      <c r="D3" s="187"/>
      <c r="E3" s="187"/>
      <c r="F3" s="188"/>
    </row>
    <row r="4" spans="2:6" ht="15.75" customHeight="1">
      <c r="B4" s="12"/>
      <c r="C4" s="4" t="s">
        <v>3</v>
      </c>
      <c r="D4" s="94" t="s">
        <v>4</v>
      </c>
      <c r="E4" s="94" t="s">
        <v>6</v>
      </c>
      <c r="F4" s="5" t="s">
        <v>5</v>
      </c>
    </row>
    <row r="5" spans="2:6" ht="15.75" customHeight="1">
      <c r="B5" s="15"/>
      <c r="C5" s="16">
        <v>0</v>
      </c>
      <c r="D5" s="5">
        <v>800</v>
      </c>
      <c r="E5" s="13">
        <v>2000</v>
      </c>
      <c r="F5" s="13">
        <v>6000</v>
      </c>
    </row>
    <row r="6" spans="2:8" ht="14.25">
      <c r="B6" s="6">
        <v>30</v>
      </c>
      <c r="C6" s="6">
        <v>130</v>
      </c>
      <c r="D6" s="6">
        <v>150</v>
      </c>
      <c r="E6" s="6">
        <v>165</v>
      </c>
      <c r="F6" s="6">
        <v>165</v>
      </c>
      <c r="H6" s="86">
        <f>C6/F6</f>
        <v>0.7878787878787878</v>
      </c>
    </row>
    <row r="7" spans="2:8" ht="14.25">
      <c r="B7" s="7">
        <v>40</v>
      </c>
      <c r="C7" s="7">
        <v>165</v>
      </c>
      <c r="D7" s="7">
        <v>180</v>
      </c>
      <c r="E7" s="7">
        <v>200</v>
      </c>
      <c r="F7" s="7">
        <v>230</v>
      </c>
      <c r="H7" s="86">
        <f aca="true" t="shared" si="0" ref="H7:H12">C7/F7</f>
        <v>0.717391304347826</v>
      </c>
    </row>
    <row r="8" spans="2:8" ht="14.25">
      <c r="B8" s="7">
        <v>45</v>
      </c>
      <c r="C8" s="7">
        <v>200</v>
      </c>
      <c r="D8" s="7">
        <v>215</v>
      </c>
      <c r="E8" s="7">
        <v>245</v>
      </c>
      <c r="F8" s="7">
        <v>260</v>
      </c>
      <c r="H8" s="86">
        <f t="shared" si="0"/>
        <v>0.7692307692307693</v>
      </c>
    </row>
    <row r="9" spans="2:8" ht="14.25">
      <c r="B9" s="7">
        <v>50</v>
      </c>
      <c r="C9" s="7">
        <v>245</v>
      </c>
      <c r="D9" s="7">
        <v>260</v>
      </c>
      <c r="E9" s="7">
        <v>300</v>
      </c>
      <c r="F9" s="7">
        <v>330</v>
      </c>
      <c r="H9" s="86">
        <f t="shared" si="0"/>
        <v>0.7424242424242424</v>
      </c>
    </row>
    <row r="10" spans="2:8" ht="14.25">
      <c r="B10" s="7">
        <v>55</v>
      </c>
      <c r="C10" s="7">
        <v>280</v>
      </c>
      <c r="D10" s="7">
        <v>315</v>
      </c>
      <c r="E10" s="7">
        <v>345</v>
      </c>
      <c r="F10" s="7">
        <v>360</v>
      </c>
      <c r="H10" s="86">
        <f t="shared" si="0"/>
        <v>0.7777777777777778</v>
      </c>
    </row>
    <row r="11" spans="2:8" ht="14.25">
      <c r="B11" s="7">
        <v>60</v>
      </c>
      <c r="C11" s="7">
        <v>330</v>
      </c>
      <c r="D11" s="7">
        <v>345</v>
      </c>
      <c r="E11" s="7">
        <v>400</v>
      </c>
      <c r="F11" s="7">
        <v>425</v>
      </c>
      <c r="H11" s="86">
        <f t="shared" si="0"/>
        <v>0.7764705882352941</v>
      </c>
    </row>
    <row r="12" spans="2:8" ht="14.25">
      <c r="B12" s="8">
        <v>70</v>
      </c>
      <c r="C12" s="8">
        <v>360</v>
      </c>
      <c r="D12" s="8">
        <v>400</v>
      </c>
      <c r="E12" s="8">
        <v>445</v>
      </c>
      <c r="F12" s="8">
        <v>475</v>
      </c>
      <c r="H12" s="86">
        <f t="shared" si="0"/>
        <v>0.7578947368421053</v>
      </c>
    </row>
  </sheetData>
  <sheetProtection password="CD6E" sheet="1" objects="1" scenarios="1" selectLockedCells="1" selectUnlockedCells="1"/>
  <mergeCells count="2">
    <mergeCell ref="C3:F3"/>
    <mergeCell ref="B2:F2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Jefferson C. Jeffers</cp:lastModifiedBy>
  <cp:lastPrinted>2009-07-23T22:47:18Z</cp:lastPrinted>
  <dcterms:created xsi:type="dcterms:W3CDTF">2008-04-03T17:48:24Z</dcterms:created>
  <dcterms:modified xsi:type="dcterms:W3CDTF">2009-10-29T19:02:31Z</dcterms:modified>
  <cp:category/>
  <cp:version/>
  <cp:contentType/>
  <cp:contentStatus/>
</cp:coreProperties>
</file>