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75" yWindow="65521" windowWidth="14235" windowHeight="14250" activeTab="1"/>
  </bookViews>
  <sheets>
    <sheet name="Intro" sheetId="1" r:id="rId1"/>
    <sheet name="IO" sheetId="2" r:id="rId2"/>
    <sheet name="Comps" sheetId="3" r:id="rId3"/>
    <sheet name="Data" sheetId="4" r:id="rId4"/>
    <sheet name="About" sheetId="5" r:id="rId5"/>
  </sheets>
  <definedNames>
    <definedName name="_xlnm.Print_Area" localSheetId="2">'Comps'!$B$2:$AI$46</definedName>
    <definedName name="_xlnm.Print_Area" localSheetId="3">'Data'!$B$1:$AO$87</definedName>
    <definedName name="_xlnm.Print_Area" localSheetId="1">'IO'!$B$2:$S$27</definedName>
    <definedName name="_xlnm.Print_Titles" localSheetId="3">'Data'!$3:$5</definedName>
  </definedNames>
  <calcPr fullCalcOnLoad="1"/>
</workbook>
</file>

<file path=xl/comments2.xml><?xml version="1.0" encoding="utf-8"?>
<comments xmlns="http://schemas.openxmlformats.org/spreadsheetml/2006/main">
  <authors>
    <author>kjsmith</author>
    <author>Kurt Smith</author>
  </authors>
  <commentList>
    <comment ref="J19" authorId="0">
      <text>
        <r>
          <rPr>
            <b/>
            <sz val="8"/>
            <rFont val="Tahoma"/>
            <family val="2"/>
          </rPr>
          <t>kjsmith:</t>
        </r>
        <r>
          <rPr>
            <sz val="8"/>
            <rFont val="Tahoma"/>
            <family val="2"/>
          </rPr>
          <t xml:space="preserve">
</t>
        </r>
        <r>
          <rPr>
            <sz val="10"/>
            <rFont val="Tahoma"/>
            <family val="2"/>
          </rPr>
          <t>The ASDS sets this at 1.0X.</t>
        </r>
        <r>
          <rPr>
            <sz val="8"/>
            <rFont val="Tahoma"/>
            <family val="2"/>
          </rPr>
          <t xml:space="preserve">
(</t>
        </r>
        <r>
          <rPr>
            <sz val="10"/>
            <rFont val="Tahoma"/>
            <family val="2"/>
          </rPr>
          <t>FHWA recommends spaces between 1.0X and 1.5X letter height for all spaces - we use 1X in this case and 1.5X word-to-Number).</t>
        </r>
      </text>
    </comment>
    <comment ref="R7" authorId="0">
      <text>
        <r>
          <rPr>
            <b/>
            <sz val="8"/>
            <rFont val="Tahoma"/>
            <family val="2"/>
          </rPr>
          <t>kjsmith:</t>
        </r>
        <r>
          <rPr>
            <sz val="8"/>
            <rFont val="Tahoma"/>
            <family val="2"/>
          </rPr>
          <t xml:space="preserve">
</t>
        </r>
        <r>
          <rPr>
            <sz val="10"/>
            <rFont val="Tahoma"/>
            <family val="2"/>
          </rPr>
          <t xml:space="preserve">Offsets are shown for the widest line only because those offsets are typically the only ones that are fixed.  </t>
        </r>
      </text>
    </comment>
    <comment ref="J21" authorId="0">
      <text>
        <r>
          <rPr>
            <b/>
            <sz val="8"/>
            <rFont val="Tahoma"/>
            <family val="2"/>
          </rPr>
          <t xml:space="preserve">miwalker:
</t>
        </r>
        <r>
          <rPr>
            <sz val="10"/>
            <rFont val="Tahoma"/>
            <family val="2"/>
          </rPr>
          <t>Refer to 2009 MUTCD, Sections 2A.13 and 2D.04 to determine whether space reduction is appropriate. The ASDS says spaces may be reduced, but not to less than 2/3 of standard values (equiv to a 33% reduction).</t>
        </r>
      </text>
    </comment>
    <comment ref="J20" authorId="0">
      <text>
        <r>
          <rPr>
            <b/>
            <sz val="8"/>
            <rFont val="Tahoma"/>
            <family val="2"/>
          </rPr>
          <t>kjsmith:</t>
        </r>
        <r>
          <rPr>
            <sz val="8"/>
            <rFont val="Tahoma"/>
            <family val="2"/>
          </rPr>
          <t xml:space="preserve">
</t>
        </r>
        <r>
          <rPr>
            <sz val="10"/>
            <rFont val="Tahoma"/>
            <family val="2"/>
          </rPr>
          <t>From ASDS</t>
        </r>
      </text>
    </comment>
    <comment ref="J23" authorId="0">
      <text>
        <r>
          <rPr>
            <b/>
            <sz val="8"/>
            <rFont val="Tahoma"/>
            <family val="2"/>
          </rPr>
          <t>kjsmith:</t>
        </r>
        <r>
          <rPr>
            <sz val="8"/>
            <rFont val="Tahoma"/>
            <family val="2"/>
          </rPr>
          <t xml:space="preserve">
</t>
        </r>
        <r>
          <rPr>
            <sz val="10"/>
            <rFont val="Tahoma"/>
            <family val="2"/>
          </rPr>
          <t xml:space="preserve">Signs are typically sized in 6" increments. </t>
        </r>
      </text>
    </comment>
    <comment ref="L7" authorId="0">
      <text>
        <r>
          <rPr>
            <b/>
            <sz val="8"/>
            <rFont val="Tahoma"/>
            <family val="2"/>
          </rPr>
          <t>kjsmith:</t>
        </r>
        <r>
          <rPr>
            <sz val="8"/>
            <rFont val="Tahoma"/>
            <family val="2"/>
          </rPr>
          <t xml:space="preserve">
See ASDS for sign height.</t>
        </r>
      </text>
    </comment>
    <comment ref="J17" authorId="1">
      <text>
        <r>
          <rPr>
            <b/>
            <sz val="8"/>
            <rFont val="Tahoma"/>
            <family val="2"/>
          </rPr>
          <t>Kurt Smith:</t>
        </r>
        <r>
          <rPr>
            <sz val="8"/>
            <rFont val="Tahoma"/>
            <family val="2"/>
          </rPr>
          <t xml:space="preserve">
</t>
        </r>
        <r>
          <rPr>
            <sz val="10"/>
            <rFont val="Tahoma"/>
            <family val="2"/>
          </rPr>
          <t>All character widths, including those of lower case characters, are based on upper case letter height.  Consequently, there is no reason to show lower case letter height (which varies depending on character anyway).</t>
        </r>
      </text>
    </comment>
    <comment ref="J22" authorId="0">
      <text>
        <r>
          <rPr>
            <b/>
            <sz val="8"/>
            <rFont val="Tahoma"/>
            <family val="2"/>
          </rPr>
          <t>miwalker:</t>
        </r>
        <r>
          <rPr>
            <sz val="8"/>
            <rFont val="Tahoma"/>
            <family val="2"/>
          </rPr>
          <t xml:space="preserve">
</t>
        </r>
        <r>
          <rPr>
            <sz val="10"/>
            <rFont val="Tahoma"/>
            <family val="2"/>
          </rPr>
          <t>Refer to 2009 MUTCD, Sections 2A.13 and 2D.04 to determine whether space reduction is appropriate. The ASDS says inter-character spaces may be reduced, but not to less than 2/3 of standard values (equiv to a 33% reduction).</t>
        </r>
      </text>
    </comment>
  </commentList>
</comments>
</file>

<file path=xl/comments3.xml><?xml version="1.0" encoding="utf-8"?>
<comments xmlns="http://schemas.openxmlformats.org/spreadsheetml/2006/main">
  <authors>
    <author>Kurt Smith</author>
  </authors>
  <commentList>
    <comment ref="B16" authorId="0">
      <text>
        <r>
          <rPr>
            <b/>
            <sz val="8"/>
            <rFont val="Tahoma"/>
            <family val="2"/>
          </rPr>
          <t>Kurt Smith:</t>
        </r>
        <r>
          <rPr>
            <sz val="8"/>
            <rFont val="Tahoma"/>
            <family val="2"/>
          </rPr>
          <t xml:space="preserve">
</t>
        </r>
        <r>
          <rPr>
            <sz val="10"/>
            <rFont val="Tahoma"/>
            <family val="2"/>
          </rPr>
          <t xml:space="preserve">With some characters, including spaces, char height does not literally mean the height of the character - it is a factor used to determine width. </t>
        </r>
        <r>
          <rPr>
            <sz val="8"/>
            <rFont val="Tahoma"/>
            <family val="2"/>
          </rPr>
          <t xml:space="preserve">
</t>
        </r>
      </text>
    </comment>
    <comment ref="B27" authorId="0">
      <text>
        <r>
          <rPr>
            <b/>
            <sz val="8"/>
            <rFont val="Tahoma"/>
            <family val="2"/>
          </rPr>
          <t>Kurt Smith:</t>
        </r>
        <r>
          <rPr>
            <sz val="8"/>
            <rFont val="Tahoma"/>
            <family val="2"/>
          </rPr>
          <t xml:space="preserve">
</t>
        </r>
        <r>
          <rPr>
            <sz val="10"/>
            <rFont val="Tahoma"/>
            <family val="2"/>
          </rPr>
          <t xml:space="preserve">With some characters, including spaces, char height does not literally mean the height of the character - it is a factor used to determine width. </t>
        </r>
        <r>
          <rPr>
            <sz val="8"/>
            <rFont val="Tahoma"/>
            <family val="2"/>
          </rPr>
          <t xml:space="preserve">
</t>
        </r>
      </text>
    </comment>
    <comment ref="B38" authorId="0">
      <text>
        <r>
          <rPr>
            <b/>
            <sz val="8"/>
            <rFont val="Tahoma"/>
            <family val="2"/>
          </rPr>
          <t>Kurt Smith:</t>
        </r>
        <r>
          <rPr>
            <sz val="8"/>
            <rFont val="Tahoma"/>
            <family val="2"/>
          </rPr>
          <t xml:space="preserve">
</t>
        </r>
        <r>
          <rPr>
            <sz val="10"/>
            <rFont val="Tahoma"/>
            <family val="2"/>
          </rPr>
          <t xml:space="preserve">With some characters, including spaces, char height does not literally mean the height of the character - it is a factor used to determine width. </t>
        </r>
        <r>
          <rPr>
            <sz val="8"/>
            <rFont val="Tahoma"/>
            <family val="2"/>
          </rPr>
          <t xml:space="preserve">
</t>
        </r>
      </text>
    </comment>
  </commentList>
</comments>
</file>

<file path=xl/sharedStrings.xml><?xml version="1.0" encoding="utf-8"?>
<sst xmlns="http://schemas.openxmlformats.org/spreadsheetml/2006/main" count="253" uniqueCount="171">
  <si>
    <t>A</t>
  </si>
  <si>
    <t>o</t>
  </si>
  <si>
    <t>B</t>
  </si>
  <si>
    <t>C</t>
  </si>
  <si>
    <t>D</t>
  </si>
  <si>
    <t>E</t>
  </si>
  <si>
    <t>F</t>
  </si>
  <si>
    <t>G</t>
  </si>
  <si>
    <t>H</t>
  </si>
  <si>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</si>
  <si>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</si>
  <si>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</si>
  <si>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</si>
  <si>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</si>
  <si>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</si>
  <si>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</si>
  <si>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</si>
  <si>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</si>
  <si>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</si>
  <si>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</si>
  <si>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</si>
  <si>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</si>
  <si>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</si>
  <si>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</si>
  <si>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</si>
  <si>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</si>
  <si>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</si>
  <si>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</si>
  <si>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</si>
  <si>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</si>
  <si>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</si>
  <si>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</si>
  <si>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</si>
  <si>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</si>
  <si>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</si>
  <si>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</si>
  <si>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</si>
  <si>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</si>
  <si>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</si>
  <si>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</si>
  <si>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</si>
  <si>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p</t>
  </si>
  <si>
    <t>q</t>
  </si>
  <si>
    <t>r</t>
  </si>
  <si>
    <t>s</t>
  </si>
  <si>
    <t>t</t>
  </si>
  <si>
    <t>u</t>
  </si>
  <si>
    <t>v</t>
  </si>
  <si>
    <t>w</t>
  </si>
  <si>
    <t>x</t>
  </si>
  <si>
    <t>y</t>
  </si>
  <si>
    <t>z</t>
  </si>
  <si>
    <t>&amp;</t>
  </si>
  <si>
    <t>!</t>
  </si>
  <si>
    <t>#</t>
  </si>
  <si>
    <t>$</t>
  </si>
  <si>
    <t>¢</t>
  </si>
  <si>
    <t>/</t>
  </si>
  <si>
    <t>(</t>
  </si>
  <si>
    <t>)</t>
  </si>
  <si>
    <t>@</t>
  </si>
  <si>
    <t>=</t>
  </si>
  <si>
    <t>+</t>
  </si>
  <si>
    <t>?</t>
  </si>
  <si>
    <t>Char</t>
  </si>
  <si>
    <t>Width</t>
  </si>
  <si>
    <t>Lt</t>
  </si>
  <si>
    <t>Rt</t>
  </si>
  <si>
    <t>*</t>
  </si>
  <si>
    <t>.</t>
  </si>
  <si>
    <t>,</t>
  </si>
  <si>
    <t/>
  </si>
  <si>
    <t>:</t>
  </si>
  <si>
    <t>-</t>
  </si>
  <si>
    <t>Total</t>
  </si>
  <si>
    <t>Series B</t>
  </si>
  <si>
    <t>Legend:</t>
  </si>
  <si>
    <t>Letter Series:</t>
  </si>
  <si>
    <t>Series C</t>
  </si>
  <si>
    <t>Series D</t>
  </si>
  <si>
    <t>Series E</t>
  </si>
  <si>
    <t>Series Em</t>
  </si>
  <si>
    <t>Series F</t>
  </si>
  <si>
    <t>Em</t>
  </si>
  <si>
    <t>Lookup Column:</t>
  </si>
  <si>
    <t>Symbol</t>
  </si>
  <si>
    <t>Offset/Leg. Width/Offset:</t>
  </si>
  <si>
    <t xml:space="preserve"> </t>
  </si>
  <si>
    <t>Offset</t>
  </si>
  <si>
    <t>Sign Width (in.):</t>
  </si>
  <si>
    <t xml:space="preserve">Recommended: </t>
  </si>
  <si>
    <t>E-F</t>
  </si>
  <si>
    <t>Avg:</t>
  </si>
  <si>
    <t>"</t>
  </si>
  <si>
    <t>***Note: Numbers in red have been changed from  2004 SHS alphabet values because those values appeared to be incorrect.</t>
  </si>
  <si>
    <t>B-C</t>
  </si>
  <si>
    <t>C-D</t>
  </si>
  <si>
    <t>D-E</t>
  </si>
  <si>
    <t>E-Em</t>
  </si>
  <si>
    <t>Em-F</t>
  </si>
  <si>
    <t>Over-ride:</t>
  </si>
  <si>
    <t>Series 5-W</t>
  </si>
  <si>
    <t>Series 5-W-R</t>
  </si>
  <si>
    <t>Em-5W</t>
  </si>
  <si>
    <t>Em-5WR</t>
  </si>
  <si>
    <t xml:space="preserve">                Data Column Lookup</t>
  </si>
  <si>
    <t>Lookup Value:</t>
  </si>
  <si>
    <t>WR</t>
  </si>
  <si>
    <t>Letters: B,C,D,E,Em,F (Series 2000)    or 5W,5WR (ClearView):</t>
  </si>
  <si>
    <t>Series 2000 character and space widths are from the 2003 Standard Highway Signs manual</t>
  </si>
  <si>
    <t xml:space="preserve">Clearview character and space widths are from the FHWA Clearview web site. </t>
  </si>
  <si>
    <t>To Do</t>
  </si>
  <si>
    <t xml:space="preserve">Character and space width data was adjusted in some instances when given data didn't make sense.  </t>
  </si>
  <si>
    <t>Legend</t>
  </si>
  <si>
    <t>Computed Widths</t>
  </si>
  <si>
    <t>Arrow Width</t>
  </si>
  <si>
    <t>(If applicable)</t>
  </si>
  <si>
    <t>Standard word-to-number space width as a proportion of letter height:</t>
  </si>
  <si>
    <t>Space width reduction factor (33% Max) - Not Normally Used:</t>
  </si>
  <si>
    <t>Spacing btwn words,arws:</t>
  </si>
  <si>
    <t>Spacing btwn words,no.s:</t>
  </si>
  <si>
    <t>Spacing Rdctn Factor:</t>
  </si>
  <si>
    <t>Space Width Factor:</t>
  </si>
  <si>
    <t>Using Series 2000 Standard Alphabets from the 2004 SHS                                                                                                                                                                                                            and Clearview Alphabets from the FHWA Web Site (downloaded 5-06)</t>
  </si>
  <si>
    <r>
      <t>Design Criteria</t>
    </r>
    <r>
      <rPr>
        <b/>
        <i/>
        <sz val="12"/>
        <rFont val="Arial"/>
        <family val="2"/>
      </rPr>
      <t xml:space="preserve"> (Input in green cells only)</t>
    </r>
  </si>
  <si>
    <t>Other Char Type: N=No,A=Arw,S=Spc</t>
  </si>
  <si>
    <t>Char Ht (for comp purposes):</t>
  </si>
  <si>
    <t>U.C. Letter Height (in.):</t>
  </si>
  <si>
    <t>Upper Case Letter Height (in.):</t>
  </si>
  <si>
    <t>Standard word-to-word (or word-to-arrow) space width as a proportion of ltr ht:</t>
  </si>
  <si>
    <t>Letter Case: U=UC,L=LC</t>
  </si>
  <si>
    <t>Sign Width (Comp or Input):</t>
  </si>
  <si>
    <t>Arrow Width, line 1:</t>
  </si>
  <si>
    <t>Arrow Width, line 2:</t>
  </si>
  <si>
    <t>Arrow Width, line 3:</t>
  </si>
  <si>
    <t>Version 1.0 Released 8/17/06</t>
  </si>
  <si>
    <t>Version 1.1 Released 11/22/06</t>
  </si>
  <si>
    <t>Created by Kurt Smith 2006</t>
  </si>
  <si>
    <t>ABOUT THE SIGN SIZING SPREADSHEET</t>
  </si>
  <si>
    <t>5W</t>
  </si>
  <si>
    <t>Right Space Width:</t>
  </si>
  <si>
    <t>Left Space Width:</t>
  </si>
  <si>
    <t>Char/Arrow Width:</t>
  </si>
  <si>
    <t>Sign Legend Sizing Computations</t>
  </si>
  <si>
    <t>Version 1.2 Released 12/11/06</t>
  </si>
  <si>
    <t>Block Wdth:</t>
  </si>
  <si>
    <t>Lt:</t>
  </si>
  <si>
    <t>Char:</t>
  </si>
  <si>
    <t>Rt:</t>
  </si>
  <si>
    <t>BLOCK WIDTH:</t>
  </si>
  <si>
    <t>SIGN SIZING SPREADSHEET</t>
  </si>
  <si>
    <t>Legend (show arrows as ^ or &lt; or &gt;)</t>
  </si>
  <si>
    <t>Fairbanks 800</t>
  </si>
  <si>
    <t>Juneau 15</t>
  </si>
  <si>
    <t>1) Corrected lower case lookup - (Problem-VLOOKUP doesn't differentiate btwn upper and lower case)</t>
  </si>
  <si>
    <t xml:space="preserve">2) Added logic to compute lower case at 75% of upper case. </t>
  </si>
  <si>
    <t>3) Simplified the logic on the comps page by breaking into smaller steps</t>
  </si>
  <si>
    <t xml:space="preserve">2) Added logic to eliminate the spaces on the left side of characters at the beginning of a line and after spaces. </t>
  </si>
  <si>
    <t>4) Added lines on the Comps page showing space and character widths.</t>
  </si>
  <si>
    <t>1) Eliminated lower case letter size in the input block and in computations - in the new sizing method, all widths are based on upper case height. Lower case letter height is not a factor in computing widths.</t>
  </si>
  <si>
    <t>3) Added logic to eliminate the spaces on the right side of characters at the end of a line and before spaces.</t>
  </si>
  <si>
    <t>5) Print-formatted the Comps page for possible use as a design document.</t>
  </si>
  <si>
    <t>1) Included upward pointing arrow as a valid option.</t>
  </si>
  <si>
    <t>2) Corrected logic to assign arrow width independently to each line of text.</t>
  </si>
  <si>
    <r>
      <t xml:space="preserve">Sign &amp; Legend Width  </t>
    </r>
    <r>
      <rPr>
        <i/>
        <sz val="14"/>
        <rFont val="Arial Black"/>
        <family val="2"/>
      </rPr>
      <t>V1.3</t>
    </r>
  </si>
  <si>
    <t>Inter-character space reduction factor (33% Max) - Not Normally Used:</t>
  </si>
  <si>
    <t>Int-char Space Rdctn Factor:</t>
  </si>
  <si>
    <t>3) Added capability to reduce inter-character spacing per MUTCD and ASDS.</t>
  </si>
  <si>
    <t>Anchorage 785</t>
  </si>
  <si>
    <t>Version 1.3 Released 6/15/12</t>
  </si>
  <si>
    <t>Version 1.3, June 15, 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</si>
</sst>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73">
    <font>
      <sz val="10"/>
      <name val="Arial"/>
      <family val="0"/>
    </font>
    <font>
      <b/>
      <sz val="10"/>
      <name val="Arial"/>
      <family val="2"/>
    </font>
    <font>
      <b/>
      <i/>
      <sz val="14"/>
      <name val="Arial"/>
      <family val="2"/>
    </font>
    <font>
      <i/>
      <sz val="14"/>
      <name val="Arial Black"/>
      <family val="2"/>
    </font>
    <font>
      <sz val="12"/>
      <name val="Arial"/>
      <family val="2"/>
    </font>
    <font>
      <sz val="8"/>
      <name val="Arial"/>
      <family val="2"/>
    </font>
    <font>
      <b/>
      <u val="single"/>
      <sz val="10"/>
      <name val="Arial"/>
      <family val="2"/>
    </font>
    <font>
      <sz val="11"/>
      <name val="Arial"/>
      <family val="2"/>
    </font>
    <font>
      <u val="single"/>
      <sz val="10"/>
      <color indexed="12"/>
      <name val="Arial"/>
      <family val="2"/>
    </font>
    <font>
      <u val="single"/>
      <sz val="10"/>
      <color indexed="36"/>
      <name val="Arial"/>
      <family val="2"/>
    </font>
    <font>
      <b/>
      <sz val="24"/>
      <color indexed="9"/>
      <name val="Arial"/>
      <family val="2"/>
    </font>
    <font>
      <sz val="24"/>
      <color indexed="9"/>
      <name val="Arial"/>
      <family val="2"/>
    </font>
    <font>
      <sz val="8"/>
      <name val="Tahoma"/>
      <family val="2"/>
    </font>
    <font>
      <b/>
      <sz val="8"/>
      <name val="Tahoma"/>
      <family val="2"/>
    </font>
    <font>
      <sz val="10"/>
      <name val="Tahoma"/>
      <family val="2"/>
    </font>
    <font>
      <i/>
      <sz val="20"/>
      <name val="Arial Black"/>
      <family val="2"/>
    </font>
    <font>
      <i/>
      <sz val="9"/>
      <name val="Arial"/>
      <family val="2"/>
    </font>
    <font>
      <b/>
      <sz val="12"/>
      <name val="Arial"/>
      <family val="2"/>
    </font>
    <font>
      <b/>
      <i/>
      <sz val="12"/>
      <name val="Arial"/>
      <family val="2"/>
    </font>
    <font>
      <sz val="10"/>
      <name val="Arial Black"/>
      <family val="2"/>
    </font>
    <font>
      <sz val="10"/>
      <color indexed="10"/>
      <name val="Arial"/>
      <family val="2"/>
    </font>
    <font>
      <sz val="8"/>
      <name val="Arial Narrow"/>
      <family val="2"/>
    </font>
    <font>
      <sz val="10"/>
      <name val="Verdana"/>
      <family val="2"/>
    </font>
    <font>
      <b/>
      <i/>
      <sz val="8"/>
      <name val="Arial"/>
      <family val="2"/>
    </font>
    <font>
      <sz val="6"/>
      <name val="Arial"/>
      <family val="2"/>
    </font>
    <font>
      <i/>
      <u val="single"/>
      <sz val="10"/>
      <name val="Arial"/>
      <family val="2"/>
    </font>
    <font>
      <b/>
      <sz val="10"/>
      <color indexed="10"/>
      <name val="Arial Black"/>
      <family val="2"/>
    </font>
    <font>
      <sz val="22"/>
      <name val="Arial Black"/>
      <family val="2"/>
    </font>
    <font>
      <b/>
      <i/>
      <sz val="10"/>
      <color indexed="10"/>
      <name val="Arial Black"/>
      <family val="2"/>
    </font>
    <font>
      <sz val="16"/>
      <name val="Arial"/>
      <family val="2"/>
    </font>
    <font>
      <b/>
      <sz val="8"/>
      <name val="Arial"/>
      <family val="2"/>
    </font>
    <font>
      <sz val="8"/>
      <name val="Arial Black"/>
      <family val="2"/>
    </font>
    <font>
      <sz val="9"/>
      <name val="Arial Black"/>
      <family val="2"/>
    </font>
    <font>
      <b/>
      <sz val="16"/>
      <name val="Arial Black"/>
      <family val="2"/>
    </font>
    <font>
      <i/>
      <sz val="24"/>
      <name val="Arial Black"/>
      <family val="2"/>
    </font>
    <font>
      <sz val="14"/>
      <name val="Arial Black"/>
      <family val="2"/>
    </font>
    <font>
      <sz val="12"/>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0"/>
    </font>
    <font>
      <i/>
      <u val="single"/>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55">
    <xf numFmtId="0" fontId="0" fillId="0" borderId="0" xfId="0" applyAlignment="1">
      <alignment/>
    </xf>
    <xf numFmtId="0" fontId="0" fillId="0" borderId="0" xfId="0" applyAlignment="1">
      <alignment horizontal="left"/>
    </xf>
    <xf numFmtId="0" fontId="0" fillId="0" borderId="0" xfId="0"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0" fillId="0" borderId="11" xfId="0" applyBorder="1" applyAlignment="1">
      <alignment/>
    </xf>
    <xf numFmtId="0" fontId="1" fillId="0" borderId="10" xfId="0" applyFont="1" applyFill="1" applyBorder="1" applyAlignment="1">
      <alignment horizontal="center"/>
    </xf>
    <xf numFmtId="0" fontId="1" fillId="0" borderId="13" xfId="0" applyFont="1" applyBorder="1" applyAlignment="1">
      <alignment horizontal="center"/>
    </xf>
    <xf numFmtId="0" fontId="4" fillId="0" borderId="0" xfId="0"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1" fillId="0" borderId="14" xfId="0" applyFont="1" applyBorder="1" applyAlignment="1">
      <alignment horizontal="center"/>
    </xf>
    <xf numFmtId="0" fontId="1" fillId="0" borderId="14" xfId="0" applyFont="1" applyBorder="1" applyAlignment="1" quotePrefix="1">
      <alignment horizontal="center"/>
    </xf>
    <xf numFmtId="0" fontId="4" fillId="0" borderId="0" xfId="0" applyFont="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18" xfId="0" applyFont="1" applyBorder="1" applyAlignment="1">
      <alignment horizontal="center"/>
    </xf>
    <xf numFmtId="0" fontId="5" fillId="0" borderId="18" xfId="0" applyFont="1" applyBorder="1" applyAlignment="1">
      <alignment horizontal="center"/>
    </xf>
    <xf numFmtId="0" fontId="1" fillId="0" borderId="0" xfId="0" applyFont="1" applyAlignment="1">
      <alignment horizontal="right"/>
    </xf>
    <xf numFmtId="0" fontId="6" fillId="0" borderId="0" xfId="0" applyFont="1" applyBorder="1" applyAlignment="1">
      <alignment horizontal="center"/>
    </xf>
    <xf numFmtId="165" fontId="0" fillId="0" borderId="11" xfId="0" applyNumberFormat="1" applyBorder="1" applyAlignment="1">
      <alignment horizontal="right"/>
    </xf>
    <xf numFmtId="165" fontId="0" fillId="0" borderId="19" xfId="0" applyNumberFormat="1" applyBorder="1" applyAlignment="1">
      <alignment horizontal="right"/>
    </xf>
    <xf numFmtId="165" fontId="0" fillId="0" borderId="14" xfId="0" applyNumberFormat="1" applyBorder="1" applyAlignment="1">
      <alignment horizontal="right"/>
    </xf>
    <xf numFmtId="165" fontId="0" fillId="0" borderId="20" xfId="0" applyNumberFormat="1" applyBorder="1" applyAlignment="1">
      <alignment horizontal="right"/>
    </xf>
    <xf numFmtId="165" fontId="0" fillId="0" borderId="12" xfId="0" applyNumberFormat="1" applyBorder="1" applyAlignment="1">
      <alignment horizontal="right"/>
    </xf>
    <xf numFmtId="165" fontId="0" fillId="0" borderId="21" xfId="0" applyNumberFormat="1" applyBorder="1" applyAlignment="1">
      <alignment horizontal="right"/>
    </xf>
    <xf numFmtId="165" fontId="0" fillId="0" borderId="11" xfId="0" applyNumberFormat="1" applyFont="1" applyBorder="1" applyAlignment="1">
      <alignment horizontal="right"/>
    </xf>
    <xf numFmtId="165" fontId="0" fillId="0" borderId="14" xfId="0" applyNumberFormat="1" applyFont="1" applyBorder="1" applyAlignment="1">
      <alignment horizontal="right"/>
    </xf>
    <xf numFmtId="165" fontId="0" fillId="0" borderId="12" xfId="0" applyNumberFormat="1" applyFont="1" applyBorder="1" applyAlignment="1">
      <alignment horizontal="right"/>
    </xf>
    <xf numFmtId="0" fontId="5" fillId="0" borderId="0" xfId="0" applyFont="1" applyBorder="1" applyAlignment="1">
      <alignment horizontal="center"/>
    </xf>
    <xf numFmtId="2" fontId="0" fillId="0" borderId="0" xfId="0" applyNumberFormat="1" applyFont="1" applyBorder="1" applyAlignment="1">
      <alignment horizontal="center"/>
    </xf>
    <xf numFmtId="0" fontId="0" fillId="0" borderId="0" xfId="0" applyBorder="1" applyAlignment="1">
      <alignment/>
    </xf>
    <xf numFmtId="2" fontId="0" fillId="0" borderId="0" xfId="0" applyNumberFormat="1" applyBorder="1" applyAlignment="1">
      <alignment/>
    </xf>
    <xf numFmtId="2" fontId="4" fillId="0" borderId="0" xfId="0" applyNumberFormat="1" applyFont="1" applyAlignment="1">
      <alignment horizontal="center"/>
    </xf>
    <xf numFmtId="2" fontId="5" fillId="0" borderId="18" xfId="0" applyNumberFormat="1" applyFont="1" applyBorder="1" applyAlignment="1">
      <alignment horizontal="left" indent="1"/>
    </xf>
    <xf numFmtId="0" fontId="4" fillId="0" borderId="22" xfId="0" applyFont="1" applyBorder="1" applyAlignment="1">
      <alignment horizontal="center"/>
    </xf>
    <xf numFmtId="0" fontId="4" fillId="0" borderId="23" xfId="0" applyFont="1" applyBorder="1" applyAlignment="1">
      <alignment horizontal="center"/>
    </xf>
    <xf numFmtId="2" fontId="4" fillId="0" borderId="24" xfId="0" applyNumberFormat="1" applyFont="1" applyBorder="1" applyAlignment="1">
      <alignment horizontal="left" indent="1"/>
    </xf>
    <xf numFmtId="2" fontId="4" fillId="0" borderId="25" xfId="0" applyNumberFormat="1" applyFont="1" applyBorder="1" applyAlignment="1">
      <alignment horizontal="center"/>
    </xf>
    <xf numFmtId="0" fontId="5" fillId="0" borderId="0" xfId="0" applyFont="1" applyAlignment="1">
      <alignment/>
    </xf>
    <xf numFmtId="9" fontId="0" fillId="0" borderId="0" xfId="59" applyFont="1" applyAlignment="1">
      <alignment/>
    </xf>
    <xf numFmtId="9" fontId="1" fillId="0" borderId="0" xfId="0" applyNumberFormat="1" applyFont="1" applyAlignment="1">
      <alignment/>
    </xf>
    <xf numFmtId="165" fontId="20" fillId="0" borderId="14" xfId="0" applyNumberFormat="1" applyFont="1" applyBorder="1" applyAlignment="1">
      <alignment horizontal="right"/>
    </xf>
    <xf numFmtId="165" fontId="20" fillId="0" borderId="14" xfId="0" applyNumberFormat="1" applyFont="1" applyFill="1" applyBorder="1" applyAlignment="1">
      <alignment horizontal="right"/>
    </xf>
    <xf numFmtId="0" fontId="20" fillId="0" borderId="0" xfId="0" applyFont="1" applyAlignment="1">
      <alignment/>
    </xf>
    <xf numFmtId="0" fontId="0" fillId="0" borderId="19"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0" xfId="0" applyAlignment="1" applyProtection="1">
      <alignment/>
      <protection/>
    </xf>
    <xf numFmtId="0" fontId="0" fillId="0" borderId="20" xfId="0" applyBorder="1" applyAlignment="1" applyProtection="1">
      <alignment/>
      <protection/>
    </xf>
    <xf numFmtId="0" fontId="0" fillId="0" borderId="0" xfId="0" applyBorder="1" applyAlignment="1" applyProtection="1">
      <alignment/>
      <protection/>
    </xf>
    <xf numFmtId="0" fontId="0" fillId="0" borderId="28" xfId="0" applyBorder="1" applyAlignment="1" applyProtection="1">
      <alignment/>
      <protection/>
    </xf>
    <xf numFmtId="0" fontId="1" fillId="0" borderId="0" xfId="0" applyFont="1" applyBorder="1" applyAlignment="1" applyProtection="1">
      <alignment horizontal="center"/>
      <protection/>
    </xf>
    <xf numFmtId="0" fontId="0" fillId="0" borderId="20" xfId="0" applyFont="1" applyBorder="1" applyAlignment="1" applyProtection="1">
      <alignment/>
      <protection/>
    </xf>
    <xf numFmtId="0" fontId="0" fillId="0" borderId="0" xfId="0" applyFont="1" applyBorder="1" applyAlignment="1" applyProtection="1">
      <alignment/>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21"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2" fontId="0" fillId="0" borderId="0" xfId="0" applyNumberFormat="1" applyAlignment="1" applyProtection="1">
      <alignment horizontal="center"/>
      <protection/>
    </xf>
    <xf numFmtId="0" fontId="0" fillId="0" borderId="0" xfId="0" applyFill="1" applyAlignment="1" applyProtection="1">
      <alignment/>
      <protection/>
    </xf>
    <xf numFmtId="2" fontId="21" fillId="0" borderId="29" xfId="0" applyNumberFormat="1" applyFont="1" applyBorder="1" applyAlignment="1">
      <alignment horizontal="center"/>
    </xf>
    <xf numFmtId="165" fontId="0" fillId="0" borderId="0" xfId="0" applyNumberFormat="1" applyBorder="1" applyAlignment="1">
      <alignment horizontal="right"/>
    </xf>
    <xf numFmtId="2" fontId="0" fillId="0" borderId="11" xfId="0" applyNumberFormat="1" applyFont="1" applyBorder="1" applyAlignment="1">
      <alignment horizontal="right"/>
    </xf>
    <xf numFmtId="9" fontId="0" fillId="0" borderId="0" xfId="59" applyFont="1" applyAlignment="1">
      <alignment/>
    </xf>
    <xf numFmtId="2" fontId="0" fillId="0" borderId="31" xfId="0" applyNumberFormat="1" applyFont="1" applyBorder="1" applyAlignment="1">
      <alignment horizontal="center" wrapText="1"/>
    </xf>
    <xf numFmtId="2" fontId="0" fillId="0" borderId="32" xfId="0" applyNumberFormat="1" applyFont="1" applyBorder="1" applyAlignment="1">
      <alignment horizontal="center" wrapText="1"/>
    </xf>
    <xf numFmtId="2" fontId="0" fillId="0" borderId="33" xfId="0" applyNumberFormat="1" applyFont="1" applyBorder="1" applyAlignment="1">
      <alignment horizontal="center" wrapText="1"/>
    </xf>
    <xf numFmtId="2" fontId="0" fillId="0" borderId="34" xfId="0" applyNumberFormat="1" applyFont="1" applyBorder="1" applyAlignment="1">
      <alignment horizontal="center" wrapText="1"/>
    </xf>
    <xf numFmtId="2" fontId="0" fillId="0" borderId="14" xfId="0" applyNumberFormat="1" applyFont="1" applyBorder="1" applyAlignment="1">
      <alignment horizontal="right"/>
    </xf>
    <xf numFmtId="2" fontId="22" fillId="0" borderId="33" xfId="0" applyNumberFormat="1" applyFont="1" applyBorder="1" applyAlignment="1">
      <alignment horizontal="center" wrapText="1"/>
    </xf>
    <xf numFmtId="2" fontId="22" fillId="0" borderId="34" xfId="0" applyNumberFormat="1" applyFont="1" applyBorder="1" applyAlignment="1">
      <alignment horizontal="center" wrapText="1"/>
    </xf>
    <xf numFmtId="2" fontId="0" fillId="0" borderId="35" xfId="0" applyNumberFormat="1" applyFont="1" applyBorder="1" applyAlignment="1">
      <alignment horizontal="center" wrapText="1"/>
    </xf>
    <xf numFmtId="2" fontId="22" fillId="0" borderId="36" xfId="0" applyNumberFormat="1" applyFont="1" applyBorder="1" applyAlignment="1">
      <alignment horizontal="center" wrapText="1"/>
    </xf>
    <xf numFmtId="2" fontId="22" fillId="0" borderId="37" xfId="0" applyNumberFormat="1" applyFont="1" applyBorder="1" applyAlignment="1">
      <alignment horizontal="center" wrapText="1"/>
    </xf>
    <xf numFmtId="2" fontId="0" fillId="0" borderId="38" xfId="0" applyNumberFormat="1" applyFont="1" applyBorder="1" applyAlignment="1">
      <alignment horizontal="center" wrapText="1"/>
    </xf>
    <xf numFmtId="2" fontId="0" fillId="0" borderId="39" xfId="0" applyNumberFormat="1" applyFont="1" applyBorder="1" applyAlignment="1">
      <alignment horizontal="center" wrapText="1"/>
    </xf>
    <xf numFmtId="2" fontId="0" fillId="0" borderId="12" xfId="0" applyNumberFormat="1" applyFont="1" applyBorder="1" applyAlignment="1">
      <alignment horizontal="right"/>
    </xf>
    <xf numFmtId="2" fontId="0" fillId="0" borderId="40" xfId="0" applyNumberFormat="1" applyFont="1" applyBorder="1" applyAlignment="1">
      <alignment horizontal="center" wrapText="1"/>
    </xf>
    <xf numFmtId="2" fontId="0" fillId="0" borderId="41" xfId="0" applyNumberFormat="1" applyFont="1" applyBorder="1" applyAlignment="1">
      <alignment horizontal="center" wrapText="1"/>
    </xf>
    <xf numFmtId="2" fontId="22" fillId="0" borderId="41" xfId="0" applyNumberFormat="1" applyFont="1" applyBorder="1" applyAlignment="1">
      <alignment horizontal="center" wrapText="1"/>
    </xf>
    <xf numFmtId="2" fontId="22" fillId="0" borderId="42" xfId="0" applyNumberFormat="1" applyFont="1" applyBorder="1" applyAlignment="1">
      <alignment horizontal="center" wrapText="1"/>
    </xf>
    <xf numFmtId="2" fontId="0" fillId="0" borderId="43" xfId="0" applyNumberFormat="1" applyFont="1" applyBorder="1" applyAlignment="1">
      <alignment horizontal="center" wrapText="1"/>
    </xf>
    <xf numFmtId="2" fontId="0" fillId="0" borderId="44" xfId="0" applyNumberFormat="1" applyFont="1" applyBorder="1" applyAlignment="1">
      <alignment horizontal="center" wrapText="1"/>
    </xf>
    <xf numFmtId="2" fontId="0" fillId="0" borderId="45" xfId="0" applyNumberFormat="1" applyFont="1" applyBorder="1" applyAlignment="1">
      <alignment horizontal="center" wrapText="1"/>
    </xf>
    <xf numFmtId="0" fontId="0" fillId="0" borderId="0" xfId="0" applyFont="1" applyAlignment="1">
      <alignment horizontal="left"/>
    </xf>
    <xf numFmtId="0" fontId="20" fillId="0" borderId="0" xfId="0" applyFont="1" applyAlignment="1">
      <alignment horizontal="left"/>
    </xf>
    <xf numFmtId="0" fontId="0" fillId="0" borderId="20" xfId="0" applyFont="1" applyBorder="1" applyAlignment="1" applyProtection="1">
      <alignment/>
      <protection/>
    </xf>
    <xf numFmtId="0" fontId="0" fillId="0" borderId="0" xfId="0" applyFont="1" applyBorder="1" applyAlignment="1" applyProtection="1">
      <alignment/>
      <protection/>
    </xf>
    <xf numFmtId="0" fontId="0" fillId="0" borderId="28"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2" fontId="0" fillId="33" borderId="20" xfId="0" applyNumberFormat="1" applyFont="1" applyFill="1" applyBorder="1" applyAlignment="1" applyProtection="1">
      <alignment horizontal="center" vertical="center"/>
      <protection/>
    </xf>
    <xf numFmtId="2" fontId="0" fillId="33" borderId="0" xfId="0" applyNumberFormat="1" applyFont="1" applyFill="1" applyBorder="1" applyAlignment="1" applyProtection="1">
      <alignment horizontal="center" vertical="center"/>
      <protection/>
    </xf>
    <xf numFmtId="2" fontId="0" fillId="33" borderId="28" xfId="0" applyNumberFormat="1" applyFont="1" applyFill="1" applyBorder="1" applyAlignment="1" applyProtection="1">
      <alignment horizontal="center" vertical="center"/>
      <protection/>
    </xf>
    <xf numFmtId="0" fontId="1" fillId="0" borderId="29" xfId="0" applyFont="1" applyBorder="1" applyAlignment="1" applyProtection="1">
      <alignment horizontal="center"/>
      <protection/>
    </xf>
    <xf numFmtId="0" fontId="23" fillId="0" borderId="0" xfId="0" applyFont="1" applyBorder="1" applyAlignment="1" applyProtection="1">
      <alignment/>
      <protection/>
    </xf>
    <xf numFmtId="0" fontId="24" fillId="0" borderId="20" xfId="0" applyFont="1" applyBorder="1" applyAlignment="1" applyProtection="1">
      <alignment/>
      <protection/>
    </xf>
    <xf numFmtId="0" fontId="24" fillId="0" borderId="0" xfId="0" applyFont="1" applyBorder="1" applyAlignment="1" applyProtection="1">
      <alignment/>
      <protection/>
    </xf>
    <xf numFmtId="0" fontId="24" fillId="0" borderId="28" xfId="0" applyFont="1" applyBorder="1" applyAlignment="1" applyProtection="1">
      <alignment/>
      <protection/>
    </xf>
    <xf numFmtId="0" fontId="24" fillId="0" borderId="0" xfId="0" applyFont="1" applyAlignment="1" applyProtection="1">
      <alignment/>
      <protection/>
    </xf>
    <xf numFmtId="0" fontId="24" fillId="34" borderId="0" xfId="0" applyFont="1" applyFill="1" applyBorder="1" applyAlignment="1" applyProtection="1">
      <alignment/>
      <protection/>
    </xf>
    <xf numFmtId="0" fontId="0" fillId="34" borderId="0" xfId="0" applyFill="1" applyBorder="1" applyAlignment="1" applyProtection="1">
      <alignment/>
      <protection/>
    </xf>
    <xf numFmtId="0" fontId="24" fillId="0" borderId="19" xfId="0" applyFont="1" applyFill="1" applyBorder="1" applyAlignment="1" applyProtection="1">
      <alignment/>
      <protection/>
    </xf>
    <xf numFmtId="0" fontId="24" fillId="0" borderId="26" xfId="0" applyFont="1" applyFill="1" applyBorder="1" applyAlignment="1" applyProtection="1">
      <alignment/>
      <protection/>
    </xf>
    <xf numFmtId="0" fontId="24" fillId="0" borderId="27" xfId="0" applyFont="1" applyFill="1" applyBorder="1" applyAlignment="1" applyProtection="1">
      <alignment/>
      <protection/>
    </xf>
    <xf numFmtId="0" fontId="24" fillId="0" borderId="20" xfId="0" applyFont="1" applyFill="1" applyBorder="1" applyAlignment="1" applyProtection="1">
      <alignment/>
      <protection/>
    </xf>
    <xf numFmtId="0" fontId="24" fillId="0" borderId="28" xfId="0" applyFont="1"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0" fillId="0" borderId="29" xfId="0" applyFill="1" applyBorder="1" applyAlignment="1" applyProtection="1">
      <alignment/>
      <protection/>
    </xf>
    <xf numFmtId="0" fontId="10" fillId="0" borderId="29" xfId="0" applyFont="1" applyFill="1" applyBorder="1" applyAlignment="1" applyProtection="1">
      <alignment vertical="center"/>
      <protection/>
    </xf>
    <xf numFmtId="0" fontId="11" fillId="0" borderId="29" xfId="0" applyFont="1" applyFill="1" applyBorder="1" applyAlignment="1" applyProtection="1">
      <alignment vertical="center"/>
      <protection/>
    </xf>
    <xf numFmtId="0" fontId="11" fillId="0" borderId="30" xfId="0" applyFont="1" applyFill="1" applyBorder="1" applyAlignment="1" applyProtection="1">
      <alignment vertical="center"/>
      <protection/>
    </xf>
    <xf numFmtId="0" fontId="23" fillId="0" borderId="0" xfId="0" applyFont="1" applyBorder="1" applyAlignment="1" applyProtection="1">
      <alignment horizontal="center" wrapText="1"/>
      <protection/>
    </xf>
    <xf numFmtId="0" fontId="26" fillId="0" borderId="0" xfId="0" applyFont="1" applyBorder="1" applyAlignment="1" applyProtection="1">
      <alignment horizontal="left"/>
      <protection/>
    </xf>
    <xf numFmtId="164" fontId="7" fillId="33" borderId="19" xfId="0" applyNumberFormat="1" applyFont="1" applyFill="1" applyBorder="1" applyAlignment="1" applyProtection="1">
      <alignment horizontal="center" vertical="center"/>
      <protection/>
    </xf>
    <xf numFmtId="164" fontId="7" fillId="33" borderId="26" xfId="0" applyNumberFormat="1" applyFont="1" applyFill="1" applyBorder="1" applyAlignment="1" applyProtection="1">
      <alignment horizontal="center" vertical="center"/>
      <protection/>
    </xf>
    <xf numFmtId="164" fontId="7" fillId="33" borderId="27" xfId="0" applyNumberFormat="1" applyFont="1" applyFill="1" applyBorder="1" applyAlignment="1" applyProtection="1">
      <alignment horizontal="center" vertical="center"/>
      <protection/>
    </xf>
    <xf numFmtId="164" fontId="7" fillId="33" borderId="20" xfId="0" applyNumberFormat="1" applyFont="1" applyFill="1" applyBorder="1" applyAlignment="1" applyProtection="1">
      <alignment horizontal="center" vertical="center"/>
      <protection/>
    </xf>
    <xf numFmtId="164" fontId="7" fillId="33" borderId="0" xfId="0" applyNumberFormat="1" applyFont="1" applyFill="1" applyBorder="1" applyAlignment="1" applyProtection="1">
      <alignment horizontal="center" vertical="center"/>
      <protection/>
    </xf>
    <xf numFmtId="164" fontId="7" fillId="33" borderId="28" xfId="0" applyNumberFormat="1" applyFont="1" applyFill="1" applyBorder="1" applyAlignment="1" applyProtection="1">
      <alignment horizontal="center" vertical="center"/>
      <protection/>
    </xf>
    <xf numFmtId="2" fontId="5" fillId="0" borderId="25" xfId="0" applyNumberFormat="1" applyFont="1" applyBorder="1" applyAlignment="1">
      <alignment horizontal="center"/>
    </xf>
    <xf numFmtId="0" fontId="5" fillId="0" borderId="0" xfId="0" applyFont="1" applyAlignment="1">
      <alignment/>
    </xf>
    <xf numFmtId="2" fontId="5" fillId="0" borderId="0" xfId="0" applyNumberFormat="1" applyFont="1" applyAlignment="1">
      <alignment horizontal="center"/>
    </xf>
    <xf numFmtId="0" fontId="5" fillId="0" borderId="0" xfId="0" applyFont="1" applyFill="1" applyBorder="1" applyAlignment="1" applyProtection="1">
      <alignment vertical="center"/>
      <protection/>
    </xf>
    <xf numFmtId="0" fontId="0" fillId="0" borderId="28"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9"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19" fillId="0" borderId="27"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25" fillId="0" borderId="29" xfId="0" applyFont="1" applyBorder="1" applyAlignment="1" applyProtection="1">
      <alignment horizontal="right" vertical="center"/>
      <protection/>
    </xf>
    <xf numFmtId="0" fontId="25" fillId="0" borderId="29" xfId="0" applyFont="1" applyBorder="1" applyAlignment="1" applyProtection="1">
      <alignment horizontal="left" vertical="center"/>
      <protection/>
    </xf>
    <xf numFmtId="0" fontId="0" fillId="0" borderId="29" xfId="0" applyFont="1" applyBorder="1" applyAlignment="1" applyProtection="1">
      <alignment vertical="center"/>
      <protection/>
    </xf>
    <xf numFmtId="0" fontId="25" fillId="0" borderId="30" xfId="0" applyFont="1" applyBorder="1" applyAlignment="1" applyProtection="1">
      <alignment horizontal="right" vertical="center"/>
      <protection/>
    </xf>
    <xf numFmtId="0" fontId="29" fillId="35" borderId="10" xfId="0" applyFont="1" applyFill="1" applyBorder="1" applyAlignment="1" applyProtection="1">
      <alignment horizontal="center" vertical="center"/>
      <protection locked="0"/>
    </xf>
    <xf numFmtId="0" fontId="10" fillId="34" borderId="0" xfId="0" applyFont="1" applyFill="1" applyBorder="1" applyAlignment="1" applyProtection="1">
      <alignment vertical="center"/>
      <protection/>
    </xf>
    <xf numFmtId="1" fontId="10" fillId="0" borderId="28" xfId="0" applyNumberFormat="1" applyFont="1" applyFill="1" applyBorder="1" applyAlignment="1" applyProtection="1">
      <alignment horizontal="left" vertical="center"/>
      <protection/>
    </xf>
    <xf numFmtId="0" fontId="10" fillId="0" borderId="28" xfId="0" applyFont="1" applyFill="1" applyBorder="1" applyAlignment="1" applyProtection="1">
      <alignment vertical="center"/>
      <protection/>
    </xf>
    <xf numFmtId="0" fontId="5" fillId="0" borderId="0" xfId="0" applyFont="1" applyBorder="1" applyAlignment="1">
      <alignment/>
    </xf>
    <xf numFmtId="0" fontId="19" fillId="35" borderId="13" xfId="0" applyFont="1" applyFill="1" applyBorder="1" applyAlignment="1" applyProtection="1">
      <alignment horizontal="center" vertical="center"/>
      <protection locked="0"/>
    </xf>
    <xf numFmtId="2" fontId="19" fillId="0" borderId="13" xfId="0" applyNumberFormat="1" applyFont="1" applyFill="1" applyBorder="1" applyAlignment="1" applyProtection="1">
      <alignment horizontal="center" vertical="center"/>
      <protection/>
    </xf>
    <xf numFmtId="9" fontId="28" fillId="35" borderId="27" xfId="59" applyFont="1" applyFill="1" applyBorder="1" applyAlignment="1" applyProtection="1">
      <alignment horizontal="center" vertical="center"/>
      <protection locked="0"/>
    </xf>
    <xf numFmtId="0" fontId="28" fillId="35" borderId="13" xfId="0" applyFont="1" applyFill="1" applyBorder="1" applyAlignment="1" applyProtection="1">
      <alignment horizontal="center" vertical="center"/>
      <protection locked="0"/>
    </xf>
    <xf numFmtId="2" fontId="5" fillId="0" borderId="25" xfId="0" applyNumberFormat="1" applyFont="1" applyBorder="1" applyAlignment="1">
      <alignment horizontal="center"/>
    </xf>
    <xf numFmtId="0" fontId="5" fillId="0" borderId="0" xfId="0" applyFont="1" applyBorder="1" applyAlignment="1">
      <alignment horizontal="center"/>
    </xf>
    <xf numFmtId="0" fontId="5" fillId="0" borderId="18" xfId="0" applyFont="1" applyBorder="1" applyAlignment="1">
      <alignment horizontal="center"/>
    </xf>
    <xf numFmtId="0" fontId="5" fillId="0" borderId="0" xfId="0" applyFont="1" applyAlignment="1">
      <alignment horizontal="center"/>
    </xf>
    <xf numFmtId="2" fontId="5" fillId="0" borderId="18" xfId="0" applyNumberFormat="1" applyFont="1" applyBorder="1" applyAlignment="1">
      <alignment horizontal="left" indent="1"/>
    </xf>
    <xf numFmtId="2" fontId="5" fillId="0" borderId="0" xfId="0" applyNumberFormat="1" applyFont="1" applyAlignment="1">
      <alignment horizontal="center"/>
    </xf>
    <xf numFmtId="0" fontId="30" fillId="0" borderId="0" xfId="0" applyFont="1" applyBorder="1" applyAlignment="1">
      <alignment horizontal="center"/>
    </xf>
    <xf numFmtId="2" fontId="5" fillId="0" borderId="0" xfId="0" applyNumberFormat="1" applyFont="1" applyBorder="1" applyAlignment="1">
      <alignment horizontal="center"/>
    </xf>
    <xf numFmtId="0" fontId="26" fillId="0" borderId="20" xfId="0" applyFont="1" applyBorder="1" applyAlignment="1" applyProtection="1">
      <alignment horizontal="left"/>
      <protection/>
    </xf>
    <xf numFmtId="0" fontId="26" fillId="0" borderId="28" xfId="0" applyFont="1" applyBorder="1" applyAlignment="1" applyProtection="1">
      <alignment horizontal="left"/>
      <protection/>
    </xf>
    <xf numFmtId="2" fontId="19" fillId="35" borderId="13" xfId="0" applyNumberFormat="1" applyFont="1" applyFill="1" applyBorder="1" applyAlignment="1" applyProtection="1">
      <alignment horizontal="center" vertical="center"/>
      <protection locked="0"/>
    </xf>
    <xf numFmtId="0" fontId="31" fillId="0" borderId="0" xfId="0" applyFont="1" applyAlignment="1">
      <alignment horizontal="right"/>
    </xf>
    <xf numFmtId="0" fontId="0" fillId="0" borderId="23" xfId="0" applyBorder="1" applyAlignment="1">
      <alignment/>
    </xf>
    <xf numFmtId="0" fontId="0" fillId="0" borderId="0" xfId="0" applyBorder="1" applyAlignment="1">
      <alignment horizontal="center"/>
    </xf>
    <xf numFmtId="2" fontId="21" fillId="0" borderId="0" xfId="0" applyNumberFormat="1" applyFont="1" applyBorder="1" applyAlignment="1">
      <alignment horizontal="center"/>
    </xf>
    <xf numFmtId="2" fontId="21" fillId="0" borderId="46" xfId="0" applyNumberFormat="1" applyFont="1" applyBorder="1" applyAlignment="1">
      <alignment horizontal="center"/>
    </xf>
    <xf numFmtId="0" fontId="5" fillId="0" borderId="19" xfId="0" applyFont="1" applyBorder="1" applyAlignment="1">
      <alignment horizontal="center"/>
    </xf>
    <xf numFmtId="2" fontId="21" fillId="0" borderId="26" xfId="0" applyNumberFormat="1" applyFont="1" applyBorder="1" applyAlignment="1">
      <alignment horizontal="center"/>
    </xf>
    <xf numFmtId="2" fontId="21" fillId="0" borderId="27" xfId="0" applyNumberFormat="1" applyFont="1" applyBorder="1" applyAlignment="1">
      <alignment horizontal="center"/>
    </xf>
    <xf numFmtId="2" fontId="21" fillId="0" borderId="20" xfId="0" applyNumberFormat="1" applyFont="1" applyBorder="1" applyAlignment="1">
      <alignment horizontal="center"/>
    </xf>
    <xf numFmtId="2" fontId="21" fillId="0" borderId="28" xfId="0" applyNumberFormat="1" applyFont="1" applyBorder="1" applyAlignment="1">
      <alignment horizontal="center"/>
    </xf>
    <xf numFmtId="2" fontId="21" fillId="0" borderId="21" xfId="0" applyNumberFormat="1" applyFont="1" applyBorder="1" applyAlignment="1">
      <alignment horizontal="center"/>
    </xf>
    <xf numFmtId="2" fontId="21" fillId="0" borderId="30" xfId="0" applyNumberFormat="1" applyFont="1" applyBorder="1" applyAlignment="1">
      <alignment horizontal="center"/>
    </xf>
    <xf numFmtId="2" fontId="1" fillId="0" borderId="22" xfId="0" applyNumberFormat="1" applyFont="1" applyBorder="1" applyAlignment="1">
      <alignment/>
    </xf>
    <xf numFmtId="2" fontId="1" fillId="0" borderId="23" xfId="0" applyNumberFormat="1" applyFont="1" applyBorder="1" applyAlignment="1">
      <alignment/>
    </xf>
    <xf numFmtId="2" fontId="1" fillId="0" borderId="24" xfId="0" applyNumberFormat="1" applyFont="1" applyBorder="1" applyAlignment="1">
      <alignment horizontal="left" indent="1"/>
    </xf>
    <xf numFmtId="2" fontId="4" fillId="0" borderId="15" xfId="0" applyNumberFormat="1" applyFont="1" applyBorder="1" applyAlignment="1">
      <alignment horizontal="center"/>
    </xf>
    <xf numFmtId="0" fontId="4" fillId="0" borderId="16" xfId="0" applyFont="1" applyBorder="1" applyAlignment="1">
      <alignment horizontal="center"/>
    </xf>
    <xf numFmtId="2" fontId="4" fillId="0" borderId="17" xfId="0" applyNumberFormat="1" applyFont="1" applyBorder="1" applyAlignment="1">
      <alignment horizontal="left" indent="1"/>
    </xf>
    <xf numFmtId="0" fontId="1" fillId="0" borderId="23" xfId="0" applyFont="1" applyBorder="1" applyAlignment="1">
      <alignment/>
    </xf>
    <xf numFmtId="0" fontId="4" fillId="0" borderId="26" xfId="0" applyFont="1" applyBorder="1" applyAlignment="1">
      <alignment horizontal="center"/>
    </xf>
    <xf numFmtId="0" fontId="0" fillId="0" borderId="26" xfId="0" applyBorder="1" applyAlignment="1">
      <alignment/>
    </xf>
    <xf numFmtId="0" fontId="4" fillId="0" borderId="29" xfId="0" applyFont="1" applyBorder="1" applyAlignment="1">
      <alignment horizontal="center"/>
    </xf>
    <xf numFmtId="0" fontId="0" fillId="0" borderId="29" xfId="0" applyBorder="1" applyAlignment="1">
      <alignment/>
    </xf>
    <xf numFmtId="0" fontId="33" fillId="0" borderId="16" xfId="0" applyFont="1" applyBorder="1" applyAlignment="1">
      <alignment horizontal="center"/>
    </xf>
    <xf numFmtId="0" fontId="1" fillId="0" borderId="0" xfId="0" applyFont="1" applyBorder="1" applyAlignment="1">
      <alignment/>
    </xf>
    <xf numFmtId="2" fontId="1" fillId="0" borderId="25" xfId="0" applyNumberFormat="1" applyFont="1" applyBorder="1" applyAlignment="1">
      <alignment/>
    </xf>
    <xf numFmtId="2" fontId="1" fillId="0" borderId="18" xfId="0" applyNumberFormat="1" applyFont="1" applyBorder="1" applyAlignment="1">
      <alignment horizontal="left" indent="1"/>
    </xf>
    <xf numFmtId="0" fontId="0" fillId="0" borderId="19" xfId="0" applyFont="1" applyBorder="1" applyAlignment="1">
      <alignment/>
    </xf>
    <xf numFmtId="0" fontId="0" fillId="0" borderId="20" xfId="0" applyFont="1" applyBorder="1" applyAlignment="1">
      <alignment/>
    </xf>
    <xf numFmtId="0" fontId="0" fillId="0" borderId="26" xfId="0" applyFont="1" applyBorder="1" applyAlignment="1">
      <alignment/>
    </xf>
    <xf numFmtId="0" fontId="0" fillId="0" borderId="0" xfId="0" applyFont="1" applyBorder="1" applyAlignment="1">
      <alignment/>
    </xf>
    <xf numFmtId="0" fontId="0" fillId="0" borderId="29" xfId="0" applyFont="1" applyBorder="1" applyAlignment="1">
      <alignment/>
    </xf>
    <xf numFmtId="0" fontId="33" fillId="0" borderId="0" xfId="0" applyFont="1" applyBorder="1" applyAlignment="1">
      <alignment horizontal="center"/>
    </xf>
    <xf numFmtId="2" fontId="5" fillId="0" borderId="25" xfId="0" applyNumberFormat="1" applyFont="1" applyBorder="1" applyAlignment="1">
      <alignment horizontal="right"/>
    </xf>
    <xf numFmtId="0" fontId="32" fillId="0" borderId="0" xfId="0" applyFont="1" applyAlignment="1">
      <alignment horizontal="left"/>
    </xf>
    <xf numFmtId="0" fontId="36" fillId="0" borderId="23" xfId="0" applyFont="1" applyBorder="1" applyAlignment="1">
      <alignment horizontal="right"/>
    </xf>
    <xf numFmtId="0" fontId="0" fillId="0" borderId="0" xfId="0" applyAlignment="1">
      <alignment horizontal="left" wrapText="1"/>
    </xf>
    <xf numFmtId="2" fontId="17" fillId="0" borderId="0" xfId="0" applyNumberFormat="1" applyFont="1" applyBorder="1" applyAlignment="1">
      <alignment horizontal="center"/>
    </xf>
    <xf numFmtId="0" fontId="0" fillId="0" borderId="30" xfId="0" applyBorder="1" applyAlignment="1">
      <alignment/>
    </xf>
    <xf numFmtId="2" fontId="5" fillId="0" borderId="0" xfId="0" applyNumberFormat="1" applyFont="1" applyAlignment="1">
      <alignment/>
    </xf>
    <xf numFmtId="0" fontId="0" fillId="0" borderId="21" xfId="0" applyFont="1" applyFill="1" applyBorder="1" applyAlignment="1">
      <alignment/>
    </xf>
    <xf numFmtId="0" fontId="35" fillId="0" borderId="23" xfId="0" applyFont="1" applyBorder="1" applyAlignment="1">
      <alignment horizontal="right"/>
    </xf>
    <xf numFmtId="0" fontId="31" fillId="0" borderId="16" xfId="0" applyFont="1" applyBorder="1" applyAlignment="1">
      <alignment horizontal="right"/>
    </xf>
    <xf numFmtId="0" fontId="23" fillId="0" borderId="0" xfId="0" applyFont="1" applyBorder="1" applyAlignment="1" applyProtection="1">
      <alignment horizontal="center"/>
      <protection/>
    </xf>
    <xf numFmtId="0" fontId="15" fillId="0" borderId="2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28" xfId="0" applyFont="1" applyBorder="1" applyAlignment="1" applyProtection="1">
      <alignment horizontal="center"/>
      <protection/>
    </xf>
    <xf numFmtId="0" fontId="16" fillId="0" borderId="20" xfId="0" applyFont="1" applyBorder="1" applyAlignment="1" applyProtection="1">
      <alignment horizontal="center" vertical="top" wrapText="1"/>
      <protection/>
    </xf>
    <xf numFmtId="0" fontId="16" fillId="0" borderId="0" xfId="0" applyFont="1" applyBorder="1" applyAlignment="1" applyProtection="1">
      <alignment horizontal="center" vertical="top" wrapText="1"/>
      <protection/>
    </xf>
    <xf numFmtId="0" fontId="16" fillId="0" borderId="28" xfId="0" applyFont="1" applyBorder="1" applyAlignment="1" applyProtection="1">
      <alignment horizontal="center" vertical="top" wrapText="1"/>
      <protection/>
    </xf>
    <xf numFmtId="49" fontId="10" fillId="34" borderId="0" xfId="0" applyNumberFormat="1" applyFont="1" applyFill="1" applyBorder="1" applyAlignment="1" applyProtection="1">
      <alignment horizontal="left" vertical="center"/>
      <protection locked="0"/>
    </xf>
    <xf numFmtId="0" fontId="24" fillId="0" borderId="19" xfId="0" applyFont="1" applyFill="1" applyBorder="1" applyAlignment="1" applyProtection="1">
      <alignment horizontal="center" vertical="center"/>
      <protection/>
    </xf>
    <xf numFmtId="0" fontId="24" fillId="0" borderId="21" xfId="0" applyFont="1" applyFill="1" applyBorder="1" applyAlignment="1" applyProtection="1">
      <alignment horizontal="center" vertical="center"/>
      <protection/>
    </xf>
    <xf numFmtId="0" fontId="24" fillId="0" borderId="26" xfId="0" applyFont="1" applyBorder="1" applyAlignment="1" applyProtection="1">
      <alignment horizontal="center" vertical="center"/>
      <protection/>
    </xf>
    <xf numFmtId="0" fontId="24" fillId="0" borderId="29" xfId="0" applyFont="1" applyBorder="1" applyAlignment="1" applyProtection="1">
      <alignment horizontal="center" vertical="center"/>
      <protection/>
    </xf>
    <xf numFmtId="0" fontId="24" fillId="0" borderId="27"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 fillId="0" borderId="19" xfId="0"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13" xfId="0" applyFont="1" applyBorder="1" applyAlignment="1" applyProtection="1">
      <alignment horizontal="center"/>
      <protection/>
    </xf>
    <xf numFmtId="0" fontId="29" fillId="35" borderId="10" xfId="0" applyFont="1" applyFill="1" applyBorder="1" applyAlignment="1" applyProtection="1">
      <alignment horizontal="center" vertical="center"/>
      <protection locked="0"/>
    </xf>
    <xf numFmtId="0" fontId="24" fillId="0" borderId="11"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7" fillId="0" borderId="26" xfId="0" applyFont="1" applyBorder="1" applyAlignment="1" applyProtection="1">
      <alignment horizontal="center"/>
      <protection/>
    </xf>
    <xf numFmtId="0" fontId="34" fillId="0" borderId="0" xfId="0" applyFont="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center"/>
    </xf>
    <xf numFmtId="2" fontId="17" fillId="0" borderId="0" xfId="0" applyNumberFormat="1" applyFont="1" applyBorder="1" applyAlignment="1">
      <alignment horizontal="center"/>
    </xf>
    <xf numFmtId="2" fontId="17" fillId="0" borderId="26" xfId="0" applyNumberFormat="1" applyFont="1" applyBorder="1" applyAlignment="1">
      <alignment horizontal="center"/>
    </xf>
    <xf numFmtId="0" fontId="17" fillId="0" borderId="0" xfId="0" applyFont="1" applyBorder="1" applyAlignment="1">
      <alignment horizontal="center"/>
    </xf>
    <xf numFmtId="2" fontId="17" fillId="0" borderId="29" xfId="0" applyNumberFormat="1" applyFont="1" applyBorder="1" applyAlignment="1">
      <alignment horizontal="center"/>
    </xf>
    <xf numFmtId="2" fontId="17" fillId="0" borderId="27" xfId="0" applyNumberFormat="1" applyFont="1" applyBorder="1" applyAlignment="1">
      <alignment horizontal="center"/>
    </xf>
    <xf numFmtId="2" fontId="17" fillId="0" borderId="28" xfId="0" applyNumberFormat="1" applyFont="1" applyBorder="1" applyAlignment="1">
      <alignment horizontal="center"/>
    </xf>
    <xf numFmtId="0" fontId="17" fillId="0" borderId="28" xfId="0" applyFont="1" applyBorder="1" applyAlignment="1">
      <alignment horizontal="center"/>
    </xf>
    <xf numFmtId="0" fontId="0" fillId="0" borderId="0" xfId="0" applyBorder="1" applyAlignment="1">
      <alignment/>
    </xf>
    <xf numFmtId="0" fontId="0" fillId="0" borderId="28" xfId="0" applyBorder="1" applyAlignment="1">
      <alignment/>
    </xf>
    <xf numFmtId="2" fontId="1" fillId="0" borderId="23" xfId="0" applyNumberFormat="1" applyFont="1" applyBorder="1" applyAlignment="1">
      <alignment horizontal="center"/>
    </xf>
    <xf numFmtId="2" fontId="1" fillId="0" borderId="46" xfId="0" applyNumberFormat="1" applyFont="1" applyBorder="1" applyAlignment="1">
      <alignment horizontal="center"/>
    </xf>
    <xf numFmtId="2" fontId="1" fillId="0" borderId="0" xfId="0" applyNumberFormat="1"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13"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 fillId="0" borderId="13" xfId="0" applyFont="1" applyBorder="1" applyAlignment="1">
      <alignment horizontal="center"/>
    </xf>
    <xf numFmtId="0" fontId="2" fillId="0" borderId="1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200025</xdr:rowOff>
    </xdr:from>
    <xdr:to>
      <xdr:col>9</xdr:col>
      <xdr:colOff>581025</xdr:colOff>
      <xdr:row>16</xdr:row>
      <xdr:rowOff>104775</xdr:rowOff>
    </xdr:to>
    <xdr:sp>
      <xdr:nvSpPr>
        <xdr:cNvPr id="1" name="TextBox 1"/>
        <xdr:cNvSpPr txBox="1">
          <a:spLocks noChangeArrowheads="1"/>
        </xdr:cNvSpPr>
      </xdr:nvSpPr>
      <xdr:spPr>
        <a:xfrm>
          <a:off x="295275" y="828675"/>
          <a:ext cx="5172075" cy="2409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spreadsheet was created to provide a quick way to determine legend and sign widths using the methodology of the 2004 FHWA </a:t>
          </a:r>
          <a:r>
            <a:rPr lang="en-US" cap="none" sz="1100" b="0" i="0" u="sng" baseline="0">
              <a:solidFill>
                <a:srgbClr val="000000"/>
              </a:solidFill>
              <a:latin typeface="Calibri"/>
              <a:ea typeface="Calibri"/>
              <a:cs typeface="Calibri"/>
            </a:rPr>
            <a:t>Standard Highway Signs </a:t>
          </a:r>
          <a:r>
            <a:rPr lang="en-US" cap="none" sz="1100" b="0" i="0" u="none" baseline="0">
              <a:solidFill>
                <a:srgbClr val="000000"/>
              </a:solidFill>
              <a:latin typeface="Calibri"/>
              <a:ea typeface="Calibri"/>
              <a:cs typeface="Calibri"/>
            </a:rPr>
            <a:t>manual</a:t>
          </a:r>
          <a:r>
            <a:rPr lang="en-US" cap="none" sz="1100" b="0" i="0" u="none" baseline="0">
              <a:solidFill>
                <a:srgbClr val="000000"/>
              </a:solidFill>
              <a:latin typeface="Calibri"/>
              <a:ea typeface="Calibri"/>
              <a:cs typeface="Calibri"/>
            </a:rPr>
            <a:t>.  Accuracy checks have been run</a:t>
          </a:r>
          <a:r>
            <a:rPr lang="en-US" cap="none" sz="1100" b="0" i="0" u="none" baseline="0">
              <a:solidFill>
                <a:srgbClr val="000000"/>
              </a:solidFill>
              <a:latin typeface="Calibri"/>
              <a:ea typeface="Calibri"/>
              <a:cs typeface="Calibri"/>
            </a:rPr>
            <a:t>.  No errors were found.  However, those checks were not comprehensive and accuracy is not guaranteed.  Non-DOT&amp;PF users of this program should run their own checks and satisfy themselves regarding accuracy.   I would appreciate being notified of errors found.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Thank you,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Jeff. Jeffers
</a:t>
          </a:r>
          <a:r>
            <a:rPr lang="en-US" cap="none" sz="1100" b="0" i="0" u="none" baseline="0">
              <a:solidFill>
                <a:srgbClr val="000000"/>
              </a:solidFill>
              <a:latin typeface="Calibri"/>
              <a:ea typeface="Calibri"/>
              <a:cs typeface="Calibri"/>
            </a:rPr>
            <a:t>State Traffic and Safety</a:t>
          </a:r>
          <a:r>
            <a:rPr lang="en-US" cap="none" sz="1100" b="0" i="0" u="none" baseline="0">
              <a:solidFill>
                <a:srgbClr val="000000"/>
              </a:solidFill>
              <a:latin typeface="Calibri"/>
              <a:ea typeface="Calibri"/>
              <a:cs typeface="Calibri"/>
            </a:rPr>
            <a:t> Engineer
</a:t>
          </a:r>
          <a:r>
            <a:rPr lang="en-US" cap="none" sz="1100" b="0" i="0" u="none" baseline="0">
              <a:solidFill>
                <a:srgbClr val="000000"/>
              </a:solidFill>
              <a:latin typeface="Calibri"/>
              <a:ea typeface="Calibri"/>
              <a:cs typeface="Calibri"/>
            </a:rPr>
            <a:t>Alaska Department of Transportation and Public Facilities
</a:t>
          </a:r>
          <a:r>
            <a:rPr lang="en-US" cap="none" sz="1100" b="0" i="0" u="none" baseline="0">
              <a:solidFill>
                <a:srgbClr val="000000"/>
              </a:solidFill>
              <a:latin typeface="Calibri"/>
              <a:ea typeface="Calibri"/>
              <a:cs typeface="Calibri"/>
            </a:rPr>
            <a:t>jeff.jeffers@alaska.gov</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13</xdr:row>
      <xdr:rowOff>161925</xdr:rowOff>
    </xdr:from>
    <xdr:to>
      <xdr:col>12</xdr:col>
      <xdr:colOff>9525</xdr:colOff>
      <xdr:row>13</xdr:row>
      <xdr:rowOff>161925</xdr:rowOff>
    </xdr:to>
    <xdr:sp>
      <xdr:nvSpPr>
        <xdr:cNvPr id="1" name="Line 15"/>
        <xdr:cNvSpPr>
          <a:spLocks/>
        </xdr:cNvSpPr>
      </xdr:nvSpPr>
      <xdr:spPr>
        <a:xfrm>
          <a:off x="3848100" y="3686175"/>
          <a:ext cx="2428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13</xdr:row>
      <xdr:rowOff>161925</xdr:rowOff>
    </xdr:from>
    <xdr:to>
      <xdr:col>5</xdr:col>
      <xdr:colOff>819150</xdr:colOff>
      <xdr:row>13</xdr:row>
      <xdr:rowOff>161925</xdr:rowOff>
    </xdr:to>
    <xdr:sp>
      <xdr:nvSpPr>
        <xdr:cNvPr id="2" name="Line 16"/>
        <xdr:cNvSpPr>
          <a:spLocks/>
        </xdr:cNvSpPr>
      </xdr:nvSpPr>
      <xdr:spPr>
        <a:xfrm flipH="1">
          <a:off x="428625" y="368617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23</xdr:row>
      <xdr:rowOff>47625</xdr:rowOff>
    </xdr:from>
    <xdr:to>
      <xdr:col>9</xdr:col>
      <xdr:colOff>619125</xdr:colOff>
      <xdr:row>24</xdr:row>
      <xdr:rowOff>114300</xdr:rowOff>
    </xdr:to>
    <xdr:sp>
      <xdr:nvSpPr>
        <xdr:cNvPr id="3" name="Text Box 18"/>
        <xdr:cNvSpPr txBox="1">
          <a:spLocks noChangeArrowheads="1"/>
        </xdr:cNvSpPr>
      </xdr:nvSpPr>
      <xdr:spPr>
        <a:xfrm>
          <a:off x="762000" y="5876925"/>
          <a:ext cx="4781550" cy="228600"/>
        </a:xfrm>
        <a:prstGeom prst="rect">
          <a:avLst/>
        </a:prstGeom>
        <a:noFill/>
        <a:ln w="9525" cmpd="sng">
          <a:noFill/>
        </a:ln>
      </xdr:spPr>
      <xdr:txBody>
        <a:bodyPr vertOverflow="clip" wrap="square" lIns="27432" tIns="22860" rIns="0" bIns="0"/>
        <a:p>
          <a:pPr algn="l">
            <a:defRPr/>
          </a:pPr>
          <a:r>
            <a:rPr lang="en-US" cap="none" sz="800" b="0" i="1" u="sng" baseline="0">
              <a:solidFill>
                <a:srgbClr val="000000"/>
              </a:solidFill>
              <a:latin typeface="Arial"/>
              <a:ea typeface="Arial"/>
              <a:cs typeface="Arial"/>
            </a:rPr>
            <a:t>Note:  Clear the bottom three input cells before computing each new sign width.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18"/>
  <sheetViews>
    <sheetView showGridLines="0" showRowColHeaders="0" zoomScalePageLayoutView="0" workbookViewId="0" topLeftCell="A1">
      <selection activeCell="B2" sqref="B2:J2"/>
    </sheetView>
  </sheetViews>
  <sheetFormatPr defaultColWidth="9.140625" defaultRowHeight="12.75"/>
  <cols>
    <col min="1" max="1" width="4.421875" style="0" customWidth="1"/>
    <col min="7" max="9" width="7.7109375" style="0" customWidth="1"/>
  </cols>
  <sheetData>
    <row r="1" ht="26.25" customHeight="1"/>
    <row r="2" spans="2:10" ht="23.25" thickBot="1">
      <c r="B2" s="209" t="s">
        <v>150</v>
      </c>
      <c r="C2" s="209"/>
      <c r="D2" s="209"/>
      <c r="E2" s="209"/>
      <c r="F2" s="209"/>
      <c r="G2" s="209"/>
      <c r="H2" s="209"/>
      <c r="I2" s="209"/>
      <c r="J2" s="209"/>
    </row>
    <row r="3" ht="22.5" customHeight="1">
      <c r="B3" s="170"/>
    </row>
    <row r="4" ht="12.75">
      <c r="B4" s="90"/>
    </row>
    <row r="5" ht="12.75">
      <c r="B5" s="1"/>
    </row>
    <row r="6" ht="12.75">
      <c r="B6" s="1"/>
    </row>
    <row r="7" ht="12.75">
      <c r="B7" s="1"/>
    </row>
    <row r="8" ht="14.25">
      <c r="B8" s="202"/>
    </row>
    <row r="9" ht="14.25">
      <c r="B9" s="202"/>
    </row>
    <row r="10" ht="12.75">
      <c r="B10" s="1"/>
    </row>
    <row r="11" ht="12.75">
      <c r="B11" s="1"/>
    </row>
    <row r="12" ht="12.75">
      <c r="B12" s="1"/>
    </row>
    <row r="13" ht="12.75">
      <c r="B13" s="1"/>
    </row>
    <row r="14" ht="14.25">
      <c r="B14" s="202"/>
    </row>
    <row r="15" ht="12.75">
      <c r="B15" s="1"/>
    </row>
    <row r="16" ht="17.25" customHeight="1">
      <c r="B16" s="1"/>
    </row>
    <row r="17" spans="2:10" ht="19.5" customHeight="1" thickBot="1">
      <c r="B17" s="169"/>
      <c r="C17" s="169"/>
      <c r="D17" s="169"/>
      <c r="E17" s="169"/>
      <c r="F17" s="169"/>
      <c r="G17" s="169"/>
      <c r="H17" s="169"/>
      <c r="I17" s="169"/>
      <c r="J17" s="169"/>
    </row>
    <row r="18" spans="2:10" ht="13.5">
      <c r="B18" s="210" t="s">
        <v>170</v>
      </c>
      <c r="C18" s="210"/>
      <c r="D18" s="210"/>
      <c r="E18" s="210"/>
      <c r="F18" s="210"/>
      <c r="G18" s="210"/>
      <c r="H18" s="210"/>
      <c r="I18" s="210"/>
      <c r="J18" s="210"/>
    </row>
  </sheetData>
  <sheetProtection password="CD64" sheet="1" selectLockedCells="1" selectUnlockedCells="1"/>
  <mergeCells count="2">
    <mergeCell ref="B2:J2"/>
    <mergeCell ref="B18:J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W31"/>
  <sheetViews>
    <sheetView showGridLines="0" showZeros="0" tabSelected="1" showOutlineSymbols="0" zoomScalePageLayoutView="0" workbookViewId="0" topLeftCell="B1">
      <selection activeCell="J18" sqref="J18"/>
    </sheetView>
  </sheetViews>
  <sheetFormatPr defaultColWidth="9.140625" defaultRowHeight="12.75"/>
  <cols>
    <col min="1" max="1" width="2.57421875" style="52" customWidth="1"/>
    <col min="2" max="2" width="3.7109375" style="52" customWidth="1"/>
    <col min="3" max="3" width="0.85546875" style="52" customWidth="1"/>
    <col min="4" max="4" width="1.421875" style="52" customWidth="1"/>
    <col min="5" max="5" width="21.421875" style="52" customWidth="1"/>
    <col min="6" max="6" width="14.8515625" style="52" customWidth="1"/>
    <col min="7" max="7" width="5.7109375" style="52" customWidth="1"/>
    <col min="8" max="8" width="12.7109375" style="52" customWidth="1"/>
    <col min="9" max="9" width="10.57421875" style="52" customWidth="1"/>
    <col min="10" max="10" width="9.421875" style="52" customWidth="1"/>
    <col min="11" max="11" width="9.8515625" style="52" customWidth="1"/>
    <col min="12" max="12" width="0.85546875" style="52" customWidth="1"/>
    <col min="13" max="13" width="1.421875" style="52" customWidth="1"/>
    <col min="14" max="14" width="10.8515625" style="52" customWidth="1"/>
    <col min="15" max="15" width="1.421875" style="52" customWidth="1"/>
    <col min="16" max="18" width="7.00390625" style="52" customWidth="1"/>
    <col min="19" max="19" width="3.7109375" style="52" customWidth="1"/>
    <col min="20" max="16384" width="9.140625" style="52" customWidth="1"/>
  </cols>
  <sheetData>
    <row r="1" ht="12.75"/>
    <row r="2" spans="2:19" ht="23.25" customHeight="1">
      <c r="B2" s="49"/>
      <c r="C2" s="50"/>
      <c r="D2" s="50"/>
      <c r="E2" s="50"/>
      <c r="F2" s="50"/>
      <c r="G2" s="50"/>
      <c r="H2" s="50"/>
      <c r="I2" s="50"/>
      <c r="J2" s="50"/>
      <c r="K2" s="50"/>
      <c r="L2" s="50"/>
      <c r="M2" s="50"/>
      <c r="N2" s="50"/>
      <c r="O2" s="50"/>
      <c r="P2" s="50"/>
      <c r="Q2" s="50"/>
      <c r="R2" s="50"/>
      <c r="S2" s="51"/>
    </row>
    <row r="3" spans="2:19" ht="28.5" customHeight="1">
      <c r="B3" s="212" t="s">
        <v>164</v>
      </c>
      <c r="C3" s="213"/>
      <c r="D3" s="213"/>
      <c r="E3" s="213"/>
      <c r="F3" s="213"/>
      <c r="G3" s="213"/>
      <c r="H3" s="213"/>
      <c r="I3" s="213"/>
      <c r="J3" s="213"/>
      <c r="K3" s="213"/>
      <c r="L3" s="213"/>
      <c r="M3" s="213"/>
      <c r="N3" s="213"/>
      <c r="O3" s="213"/>
      <c r="P3" s="213"/>
      <c r="Q3" s="213"/>
      <c r="R3" s="213"/>
      <c r="S3" s="214"/>
    </row>
    <row r="4" spans="2:19" ht="31.5" customHeight="1">
      <c r="B4" s="215" t="s">
        <v>123</v>
      </c>
      <c r="C4" s="216"/>
      <c r="D4" s="216"/>
      <c r="E4" s="216"/>
      <c r="F4" s="216"/>
      <c r="G4" s="216"/>
      <c r="H4" s="216"/>
      <c r="I4" s="216"/>
      <c r="J4" s="216"/>
      <c r="K4" s="216"/>
      <c r="L4" s="216"/>
      <c r="M4" s="216"/>
      <c r="N4" s="216"/>
      <c r="O4" s="216"/>
      <c r="P4" s="216"/>
      <c r="Q4" s="216"/>
      <c r="R4" s="216"/>
      <c r="S4" s="217"/>
    </row>
    <row r="5" spans="2:19" ht="15" customHeight="1">
      <c r="B5" s="53"/>
      <c r="C5" s="54"/>
      <c r="D5" s="54"/>
      <c r="E5" s="54"/>
      <c r="F5" s="54"/>
      <c r="G5" s="54"/>
      <c r="H5" s="54"/>
      <c r="I5" s="54"/>
      <c r="J5" s="54"/>
      <c r="K5" s="54"/>
      <c r="L5" s="54"/>
      <c r="M5" s="54"/>
      <c r="N5" s="54"/>
      <c r="O5" s="54"/>
      <c r="P5" s="54"/>
      <c r="Q5" s="54"/>
      <c r="R5" s="54"/>
      <c r="S5" s="55"/>
    </row>
    <row r="6" spans="2:19" ht="21.75" customHeight="1">
      <c r="B6" s="53"/>
      <c r="C6" s="54"/>
      <c r="D6" s="101" t="s">
        <v>151</v>
      </c>
      <c r="E6" s="54"/>
      <c r="F6" s="54"/>
      <c r="G6" s="54"/>
      <c r="H6" s="54"/>
      <c r="I6" s="54"/>
      <c r="J6" s="54"/>
      <c r="K6" s="54"/>
      <c r="L6" s="54"/>
      <c r="M6" s="54"/>
      <c r="N6" s="119" t="s">
        <v>115</v>
      </c>
      <c r="O6" s="54"/>
      <c r="P6" s="211" t="s">
        <v>114</v>
      </c>
      <c r="Q6" s="211"/>
      <c r="R6" s="211"/>
      <c r="S6" s="55"/>
    </row>
    <row r="7" spans="2:19" s="105" customFormat="1" ht="3.75" customHeight="1">
      <c r="B7" s="102"/>
      <c r="C7" s="108"/>
      <c r="D7" s="109"/>
      <c r="E7" s="109"/>
      <c r="F7" s="109"/>
      <c r="G7" s="109"/>
      <c r="H7" s="109"/>
      <c r="I7" s="109"/>
      <c r="J7" s="109"/>
      <c r="K7" s="109"/>
      <c r="L7" s="110"/>
      <c r="M7" s="103"/>
      <c r="N7" s="229" t="s">
        <v>116</v>
      </c>
      <c r="O7" s="103"/>
      <c r="P7" s="219" t="s">
        <v>88</v>
      </c>
      <c r="Q7" s="221" t="s">
        <v>113</v>
      </c>
      <c r="R7" s="223" t="s">
        <v>88</v>
      </c>
      <c r="S7" s="104"/>
    </row>
    <row r="8" spans="2:19" s="105" customFormat="1" ht="6.75" customHeight="1">
      <c r="B8" s="102"/>
      <c r="C8" s="111"/>
      <c r="D8" s="106"/>
      <c r="E8" s="106"/>
      <c r="F8" s="106"/>
      <c r="G8" s="106"/>
      <c r="H8" s="106"/>
      <c r="I8" s="106"/>
      <c r="J8" s="106"/>
      <c r="K8" s="106"/>
      <c r="L8" s="112"/>
      <c r="M8" s="103"/>
      <c r="N8" s="230"/>
      <c r="O8" s="103"/>
      <c r="P8" s="220"/>
      <c r="Q8" s="222"/>
      <c r="R8" s="224"/>
      <c r="S8" s="104"/>
    </row>
    <row r="9" spans="2:19" ht="40.5" customHeight="1">
      <c r="B9" s="53"/>
      <c r="C9" s="113"/>
      <c r="D9" s="107"/>
      <c r="E9" s="218" t="s">
        <v>152</v>
      </c>
      <c r="F9" s="218"/>
      <c r="G9" s="218"/>
      <c r="H9" s="218"/>
      <c r="I9" s="218"/>
      <c r="J9" s="218"/>
      <c r="K9" s="218"/>
      <c r="L9" s="150"/>
      <c r="M9" s="54"/>
      <c r="N9" s="148"/>
      <c r="O9" s="54"/>
      <c r="P9" s="121">
        <f>Comps!C22</f>
        <v>0</v>
      </c>
      <c r="Q9" s="122">
        <f>Comps!E22</f>
        <v>49.800000000000004</v>
      </c>
      <c r="R9" s="123">
        <f>Comps!AI22</f>
        <v>0</v>
      </c>
      <c r="S9" s="55"/>
    </row>
    <row r="10" spans="2:19" ht="40.5" customHeight="1">
      <c r="B10" s="53"/>
      <c r="C10" s="113"/>
      <c r="D10" s="107"/>
      <c r="E10" s="218" t="s">
        <v>168</v>
      </c>
      <c r="F10" s="218"/>
      <c r="G10" s="218"/>
      <c r="H10" s="218"/>
      <c r="I10" s="218"/>
      <c r="J10" s="218"/>
      <c r="K10" s="218"/>
      <c r="L10" s="151"/>
      <c r="M10" s="54"/>
      <c r="N10" s="148"/>
      <c r="O10" s="54"/>
      <c r="P10" s="124">
        <f>Comps!C33</f>
        <v>3.8399999999999963</v>
      </c>
      <c r="Q10" s="125">
        <f>Comps!E33</f>
        <v>52.32000000000001</v>
      </c>
      <c r="R10" s="126">
        <f>Comps!AI33</f>
        <v>3.8399999999999963</v>
      </c>
      <c r="S10" s="55"/>
    </row>
    <row r="11" spans="2:19" ht="40.5" customHeight="1">
      <c r="B11" s="53"/>
      <c r="C11" s="113"/>
      <c r="D11" s="107"/>
      <c r="E11" s="218" t="s">
        <v>153</v>
      </c>
      <c r="F11" s="218"/>
      <c r="G11" s="218"/>
      <c r="H11" s="218"/>
      <c r="I11" s="218"/>
      <c r="J11" s="218"/>
      <c r="K11" s="218"/>
      <c r="L11" s="151"/>
      <c r="M11" s="54"/>
      <c r="N11" s="228"/>
      <c r="O11" s="54"/>
      <c r="P11" s="124">
        <f>Comps!C44</f>
        <v>0</v>
      </c>
      <c r="Q11" s="125">
        <f>Comps!E44</f>
        <v>35.160000000000004</v>
      </c>
      <c r="R11" s="126">
        <f>Comps!AI44</f>
        <v>0</v>
      </c>
      <c r="S11" s="55"/>
    </row>
    <row r="12" spans="2:19" ht="8.25" customHeight="1">
      <c r="B12" s="53"/>
      <c r="C12" s="113"/>
      <c r="D12" s="107"/>
      <c r="E12" s="149"/>
      <c r="F12" s="149"/>
      <c r="G12" s="149"/>
      <c r="H12" s="149"/>
      <c r="I12" s="149"/>
      <c r="J12" s="149"/>
      <c r="K12" s="149"/>
      <c r="L12" s="151"/>
      <c r="M12" s="54"/>
      <c r="N12" s="228"/>
      <c r="O12" s="54"/>
      <c r="P12" s="97"/>
      <c r="Q12" s="98"/>
      <c r="R12" s="99"/>
      <c r="S12" s="55"/>
    </row>
    <row r="13" spans="2:19" ht="4.5" customHeight="1">
      <c r="B13" s="53"/>
      <c r="C13" s="114"/>
      <c r="D13" s="115"/>
      <c r="E13" s="116"/>
      <c r="F13" s="116"/>
      <c r="G13" s="116"/>
      <c r="H13" s="117"/>
      <c r="I13" s="117"/>
      <c r="J13" s="117"/>
      <c r="K13" s="117"/>
      <c r="L13" s="118"/>
      <c r="M13" s="54"/>
      <c r="N13" s="228"/>
      <c r="O13" s="54"/>
      <c r="P13" s="61"/>
      <c r="Q13" s="62"/>
      <c r="R13" s="63"/>
      <c r="S13" s="55"/>
    </row>
    <row r="14" spans="2:19" ht="30" customHeight="1">
      <c r="B14" s="53"/>
      <c r="C14" s="231">
        <f>IF(ISNUMBER(J23),IF(J23&lt;&gt;G23,J23,G23),G23)</f>
        <v>60</v>
      </c>
      <c r="D14" s="231"/>
      <c r="E14" s="231"/>
      <c r="F14" s="231"/>
      <c r="G14" s="231"/>
      <c r="H14" s="231"/>
      <c r="I14" s="231"/>
      <c r="J14" s="231"/>
      <c r="K14" s="231"/>
      <c r="L14" s="231"/>
      <c r="M14" s="54"/>
      <c r="N14" s="54"/>
      <c r="O14" s="54"/>
      <c r="P14" s="54"/>
      <c r="Q14" s="54"/>
      <c r="R14" s="54"/>
      <c r="S14" s="55"/>
    </row>
    <row r="15" spans="2:19" ht="27" customHeight="1">
      <c r="B15" s="53"/>
      <c r="C15" s="54"/>
      <c r="D15" s="54"/>
      <c r="E15" s="59"/>
      <c r="F15" s="59"/>
      <c r="G15" s="59"/>
      <c r="H15" s="130"/>
      <c r="I15" s="60"/>
      <c r="J15" s="60"/>
      <c r="K15" s="60"/>
      <c r="L15" s="60"/>
      <c r="M15" s="54"/>
      <c r="N15" s="54"/>
      <c r="O15" s="54"/>
      <c r="P15" s="54"/>
      <c r="Q15" s="54"/>
      <c r="R15" s="54"/>
      <c r="S15" s="55"/>
    </row>
    <row r="16" spans="2:19" s="95" customFormat="1" ht="18.75">
      <c r="B16" s="92"/>
      <c r="C16" s="96"/>
      <c r="D16" s="96"/>
      <c r="E16" s="225" t="s">
        <v>124</v>
      </c>
      <c r="F16" s="226"/>
      <c r="G16" s="226"/>
      <c r="H16" s="226"/>
      <c r="I16" s="226"/>
      <c r="J16" s="227"/>
      <c r="K16" s="56"/>
      <c r="L16" s="93"/>
      <c r="M16" s="93"/>
      <c r="N16" s="93"/>
      <c r="O16" s="93"/>
      <c r="P16" s="93"/>
      <c r="Q16" s="93"/>
      <c r="R16" s="93"/>
      <c r="S16" s="94"/>
    </row>
    <row r="17" spans="2:19" s="95" customFormat="1" ht="15">
      <c r="B17" s="92"/>
      <c r="C17" s="96"/>
      <c r="D17" s="96"/>
      <c r="E17" s="135" t="s">
        <v>128</v>
      </c>
      <c r="F17" s="136"/>
      <c r="G17" s="136"/>
      <c r="H17" s="137"/>
      <c r="I17" s="141"/>
      <c r="J17" s="167">
        <v>4</v>
      </c>
      <c r="K17" s="56"/>
      <c r="L17" s="93"/>
      <c r="M17" s="93"/>
      <c r="N17" s="93"/>
      <c r="O17" s="93"/>
      <c r="P17" s="93"/>
      <c r="Q17" s="93"/>
      <c r="R17" s="93"/>
      <c r="S17" s="94"/>
    </row>
    <row r="18" spans="2:19" s="95" customFormat="1" ht="15">
      <c r="B18" s="57"/>
      <c r="C18" s="93"/>
      <c r="D18" s="93"/>
      <c r="E18" s="138" t="s">
        <v>108</v>
      </c>
      <c r="F18" s="139"/>
      <c r="G18" s="139"/>
      <c r="H18" s="140"/>
      <c r="I18" s="142"/>
      <c r="J18" s="153" t="s">
        <v>139</v>
      </c>
      <c r="K18" s="56"/>
      <c r="L18" s="93"/>
      <c r="M18" s="93"/>
      <c r="N18" s="93"/>
      <c r="O18" s="93"/>
      <c r="P18" s="93"/>
      <c r="Q18" s="93"/>
      <c r="R18" s="93"/>
      <c r="S18" s="94"/>
    </row>
    <row r="19" spans="2:19" s="95" customFormat="1" ht="15">
      <c r="B19" s="57"/>
      <c r="C19" s="93"/>
      <c r="D19" s="93"/>
      <c r="E19" s="138" t="s">
        <v>129</v>
      </c>
      <c r="F19" s="139"/>
      <c r="G19" s="139"/>
      <c r="H19" s="140"/>
      <c r="I19" s="142"/>
      <c r="J19" s="154">
        <v>1</v>
      </c>
      <c r="K19" s="56"/>
      <c r="L19" s="93"/>
      <c r="M19" s="93"/>
      <c r="N19" s="93"/>
      <c r="O19" s="93"/>
      <c r="P19" s="93"/>
      <c r="Q19" s="93"/>
      <c r="R19" s="93"/>
      <c r="S19" s="94"/>
    </row>
    <row r="20" spans="2:19" s="95" customFormat="1" ht="15">
      <c r="B20" s="57"/>
      <c r="C20" s="93"/>
      <c r="D20" s="93"/>
      <c r="E20" s="138" t="s">
        <v>117</v>
      </c>
      <c r="F20" s="139"/>
      <c r="G20" s="139"/>
      <c r="H20" s="140"/>
      <c r="I20" s="142"/>
      <c r="J20" s="154">
        <v>1.5</v>
      </c>
      <c r="K20" s="56"/>
      <c r="L20" s="93"/>
      <c r="M20" s="93"/>
      <c r="N20" s="93"/>
      <c r="O20" s="93"/>
      <c r="P20" s="93"/>
      <c r="Q20" s="93"/>
      <c r="R20" s="93"/>
      <c r="S20" s="94"/>
    </row>
    <row r="21" spans="2:23" s="134" customFormat="1" ht="15">
      <c r="B21" s="57"/>
      <c r="C21" s="93"/>
      <c r="D21" s="93"/>
      <c r="E21" s="138" t="s">
        <v>118</v>
      </c>
      <c r="F21" s="139"/>
      <c r="G21" s="139"/>
      <c r="H21" s="140"/>
      <c r="I21" s="142"/>
      <c r="J21" s="155"/>
      <c r="K21" s="165">
        <f>IF(J21&gt;0.333334,"   Error, Reduction Factor Too Large",IF(J21&lt;0,"   Error, Use Positive Reduction Factor",""))</f>
      </c>
      <c r="L21" s="120"/>
      <c r="M21" s="120"/>
      <c r="N21" s="120"/>
      <c r="O21" s="120"/>
      <c r="P21" s="120"/>
      <c r="Q21" s="133"/>
      <c r="R21" s="120"/>
      <c r="S21" s="166"/>
      <c r="T21" s="120"/>
      <c r="U21" s="120"/>
      <c r="V21" s="120"/>
      <c r="W21" s="120"/>
    </row>
    <row r="22" spans="2:23" s="134" customFormat="1" ht="15">
      <c r="B22" s="57"/>
      <c r="C22" s="93"/>
      <c r="D22" s="93"/>
      <c r="E22" s="138" t="s">
        <v>165</v>
      </c>
      <c r="F22" s="139"/>
      <c r="G22" s="139"/>
      <c r="H22" s="140"/>
      <c r="I22" s="142"/>
      <c r="J22" s="155"/>
      <c r="K22" s="165">
        <f>IF(J22&gt;0.333334,"   Error, Reduction Factor Too Large",IF(J22&lt;0,"   Error, Use Positive Reduction Factor",""))</f>
      </c>
      <c r="L22" s="120"/>
      <c r="M22" s="120"/>
      <c r="N22" s="120"/>
      <c r="O22" s="120"/>
      <c r="P22" s="120"/>
      <c r="Q22" s="133"/>
      <c r="R22" s="120"/>
      <c r="S22" s="166"/>
      <c r="T22" s="120"/>
      <c r="U22" s="120"/>
      <c r="V22" s="120"/>
      <c r="W22" s="120"/>
    </row>
    <row r="23" spans="2:19" s="132" customFormat="1" ht="15.75" customHeight="1">
      <c r="B23" s="57"/>
      <c r="C23" s="58"/>
      <c r="D23" s="58"/>
      <c r="E23" s="143" t="s">
        <v>89</v>
      </c>
      <c r="F23" s="144" t="s">
        <v>90</v>
      </c>
      <c r="G23" s="145">
        <f>ROUND((MAX(Q9,Q10,Q11)+2*J17)/6,0)*6</f>
        <v>60</v>
      </c>
      <c r="H23" s="146"/>
      <c r="I23" s="147" t="s">
        <v>100</v>
      </c>
      <c r="J23" s="156"/>
      <c r="K23" s="56"/>
      <c r="L23" s="58"/>
      <c r="M23" s="58"/>
      <c r="N23" s="58"/>
      <c r="O23" s="58"/>
      <c r="P23" s="58"/>
      <c r="Q23" s="58"/>
      <c r="R23" s="58"/>
      <c r="S23" s="131"/>
    </row>
    <row r="24" spans="2:19" ht="12.75">
      <c r="B24" s="53"/>
      <c r="C24" s="96"/>
      <c r="D24" s="96"/>
      <c r="E24" s="54"/>
      <c r="F24" s="54"/>
      <c r="G24" s="54"/>
      <c r="H24" s="54"/>
      <c r="I24" s="54"/>
      <c r="J24" s="54"/>
      <c r="K24" s="54"/>
      <c r="L24" s="54"/>
      <c r="M24" s="54"/>
      <c r="N24" s="54"/>
      <c r="O24" s="54"/>
      <c r="P24" s="54"/>
      <c r="Q24" s="54"/>
      <c r="R24" s="54"/>
      <c r="S24" s="55"/>
    </row>
    <row r="25" spans="2:19" ht="12.75">
      <c r="B25" s="53"/>
      <c r="C25" s="96"/>
      <c r="D25" s="96"/>
      <c r="E25" s="54"/>
      <c r="F25" s="54"/>
      <c r="G25" s="54"/>
      <c r="H25" s="54"/>
      <c r="I25" s="54"/>
      <c r="J25" s="54"/>
      <c r="K25" s="54"/>
      <c r="L25" s="54"/>
      <c r="M25" s="54"/>
      <c r="N25" s="54"/>
      <c r="O25" s="54"/>
      <c r="P25" s="54"/>
      <c r="Q25" s="54"/>
      <c r="R25" s="54"/>
      <c r="S25" s="55"/>
    </row>
    <row r="26" spans="2:19" ht="12.75">
      <c r="B26" s="53"/>
      <c r="C26" s="96"/>
      <c r="D26" s="96"/>
      <c r="E26" s="54"/>
      <c r="F26" s="54"/>
      <c r="G26" s="54"/>
      <c r="H26" s="54"/>
      <c r="I26" s="54"/>
      <c r="J26" s="54"/>
      <c r="K26" s="54"/>
      <c r="L26" s="54"/>
      <c r="M26" s="54"/>
      <c r="N26" s="54"/>
      <c r="O26" s="54"/>
      <c r="P26" s="54"/>
      <c r="Q26" s="54"/>
      <c r="R26" s="54"/>
      <c r="S26" s="55"/>
    </row>
    <row r="27" spans="2:19" ht="12.75">
      <c r="B27" s="61"/>
      <c r="C27" s="62"/>
      <c r="D27" s="62"/>
      <c r="E27" s="62"/>
      <c r="F27" s="62"/>
      <c r="G27" s="62"/>
      <c r="H27" s="100"/>
      <c r="I27" s="100"/>
      <c r="J27" s="100"/>
      <c r="K27" s="100"/>
      <c r="L27" s="100"/>
      <c r="M27" s="100"/>
      <c r="N27" s="100"/>
      <c r="O27" s="100"/>
      <c r="P27" s="62"/>
      <c r="Q27" s="62"/>
      <c r="R27" s="62"/>
      <c r="S27" s="63"/>
    </row>
    <row r="28" spans="10:11" ht="12.75">
      <c r="J28" s="64"/>
      <c r="K28" s="64"/>
    </row>
    <row r="29" spans="7:11" ht="12.75">
      <c r="G29" s="65"/>
      <c r="J29" s="64"/>
      <c r="K29" s="64"/>
    </row>
    <row r="30" spans="10:11" ht="12.75">
      <c r="J30" s="64"/>
      <c r="K30" s="64"/>
    </row>
    <row r="31" spans="8:15" ht="12.75">
      <c r="H31" s="64"/>
      <c r="I31" s="64"/>
      <c r="J31" s="64"/>
      <c r="K31" s="64"/>
      <c r="L31" s="64"/>
      <c r="M31" s="64"/>
      <c r="N31" s="64"/>
      <c r="O31" s="64"/>
    </row>
  </sheetData>
  <sheetProtection password="CD64" sheet="1" selectLockedCells="1"/>
  <mergeCells count="13">
    <mergeCell ref="E16:J16"/>
    <mergeCell ref="N11:N13"/>
    <mergeCell ref="N7:N8"/>
    <mergeCell ref="E10:K10"/>
    <mergeCell ref="E11:K11"/>
    <mergeCell ref="C14:L14"/>
    <mergeCell ref="P6:R6"/>
    <mergeCell ref="B3:S3"/>
    <mergeCell ref="B4:S4"/>
    <mergeCell ref="E9:K9"/>
    <mergeCell ref="P7:P8"/>
    <mergeCell ref="Q7:Q8"/>
    <mergeCell ref="R7:R8"/>
  </mergeCells>
  <printOptions horizontalCentered="1"/>
  <pageMargins left="0.2" right="0.23" top="0.78" bottom="0.86"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CG73"/>
  <sheetViews>
    <sheetView showGridLines="0" zoomScale="90" zoomScaleNormal="90" zoomScalePageLayoutView="0" workbookViewId="0" topLeftCell="A1">
      <selection activeCell="C2" sqref="C2:AI2"/>
    </sheetView>
  </sheetViews>
  <sheetFormatPr defaultColWidth="9.140625" defaultRowHeight="12.75"/>
  <cols>
    <col min="1" max="1" width="1.7109375" style="0" customWidth="1"/>
    <col min="2" max="2" width="28.00390625" style="0" customWidth="1"/>
    <col min="3" max="3" width="9.28125" style="0" customWidth="1"/>
    <col min="4" max="4" width="0.71875" style="0" customWidth="1"/>
    <col min="5" max="25" width="4.7109375" style="0" customWidth="1"/>
    <col min="26" max="34" width="4.421875" style="0" customWidth="1"/>
    <col min="35" max="35" width="11.140625" style="0" customWidth="1"/>
    <col min="36" max="36" width="3.57421875" style="0" customWidth="1"/>
    <col min="38" max="38" width="2.140625" style="0" customWidth="1"/>
    <col min="39" max="68" width="1.7109375" style="0" customWidth="1"/>
    <col min="69" max="69" width="3.140625" style="0" customWidth="1"/>
  </cols>
  <sheetData>
    <row r="1" ht="6.75" customHeight="1"/>
    <row r="2" spans="3:35" ht="36.75">
      <c r="C2" s="232" t="s">
        <v>143</v>
      </c>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row>
    <row r="3" ht="33" customHeight="1"/>
    <row r="4" spans="3:41" ht="15.75">
      <c r="C4" s="195" t="s">
        <v>127</v>
      </c>
      <c r="D4" s="188"/>
      <c r="E4" s="188"/>
      <c r="F4" s="188"/>
      <c r="G4" s="188"/>
      <c r="H4" s="188"/>
      <c r="I4" s="237">
        <f>'IO'!J17</f>
        <v>4</v>
      </c>
      <c r="J4" s="237"/>
      <c r="K4" s="187"/>
      <c r="L4" s="197" t="s">
        <v>132</v>
      </c>
      <c r="M4" s="197"/>
      <c r="N4" s="197"/>
      <c r="O4" s="197"/>
      <c r="P4" s="197"/>
      <c r="Q4" s="197"/>
      <c r="R4" s="237">
        <f>'IO'!N9</f>
        <v>0</v>
      </c>
      <c r="S4" s="240"/>
      <c r="V4" s="43"/>
      <c r="W4" s="43"/>
      <c r="X4" s="43"/>
      <c r="Y4" s="43"/>
      <c r="Z4" s="43"/>
      <c r="AA4" s="43"/>
      <c r="AB4" s="43" t="s">
        <v>87</v>
      </c>
      <c r="AC4" s="43"/>
      <c r="AD4" s="43"/>
      <c r="AE4" s="43"/>
      <c r="AF4" s="43"/>
      <c r="AG4" s="43"/>
      <c r="AH4" s="43"/>
      <c r="AI4" s="43"/>
      <c r="AJ4" s="9"/>
      <c r="AK4" s="9"/>
      <c r="AL4" s="9"/>
      <c r="AO4" t="s">
        <v>87</v>
      </c>
    </row>
    <row r="5" spans="3:38" ht="15.75">
      <c r="C5" s="196" t="s">
        <v>77</v>
      </c>
      <c r="D5" s="35"/>
      <c r="E5" s="35"/>
      <c r="F5" s="35"/>
      <c r="G5" s="35"/>
      <c r="H5" s="35"/>
      <c r="I5" s="238" t="str">
        <f>'IO'!J18</f>
        <v>5W</v>
      </c>
      <c r="J5" s="238"/>
      <c r="K5" s="16"/>
      <c r="L5" s="198" t="s">
        <v>133</v>
      </c>
      <c r="M5" s="198"/>
      <c r="N5" s="198"/>
      <c r="O5" s="198"/>
      <c r="P5" s="198"/>
      <c r="Q5" s="198"/>
      <c r="R5" s="236">
        <f>'IO'!N10</f>
        <v>0</v>
      </c>
      <c r="S5" s="241"/>
      <c r="V5" s="43"/>
      <c r="W5" s="43"/>
      <c r="X5" s="43"/>
      <c r="Y5" s="43"/>
      <c r="Z5" s="43"/>
      <c r="AA5" s="43"/>
      <c r="AB5" s="43"/>
      <c r="AC5" s="43"/>
      <c r="AD5" s="43"/>
      <c r="AE5" s="43"/>
      <c r="AF5" s="43"/>
      <c r="AG5" s="43"/>
      <c r="AH5" s="43"/>
      <c r="AI5" s="43" t="s">
        <v>87</v>
      </c>
      <c r="AJ5" s="9"/>
      <c r="AK5" s="9"/>
      <c r="AL5" s="9"/>
    </row>
    <row r="6" spans="3:38" ht="15.75">
      <c r="C6" s="196" t="s">
        <v>119</v>
      </c>
      <c r="D6" s="35"/>
      <c r="E6" s="35"/>
      <c r="F6" s="35"/>
      <c r="G6" s="35"/>
      <c r="H6" s="35"/>
      <c r="I6" s="236">
        <f>'IO'!J19</f>
        <v>1</v>
      </c>
      <c r="J6" s="236"/>
      <c r="K6" s="16"/>
      <c r="L6" s="198" t="s">
        <v>134</v>
      </c>
      <c r="M6" s="198"/>
      <c r="N6" s="198"/>
      <c r="O6" s="198"/>
      <c r="P6" s="198"/>
      <c r="Q6" s="198"/>
      <c r="R6" s="236">
        <f>'IO'!N11</f>
        <v>0</v>
      </c>
      <c r="S6" s="241"/>
      <c r="V6" s="43"/>
      <c r="W6" s="43"/>
      <c r="X6" s="43"/>
      <c r="Y6" s="43"/>
      <c r="Z6" s="43" t="s">
        <v>87</v>
      </c>
      <c r="AA6" s="43"/>
      <c r="AB6" s="43"/>
      <c r="AC6" s="43"/>
      <c r="AD6" s="43"/>
      <c r="AE6" s="43"/>
      <c r="AF6" s="43"/>
      <c r="AG6" s="43"/>
      <c r="AH6" s="43"/>
      <c r="AI6" s="43"/>
      <c r="AJ6" s="9"/>
      <c r="AK6" s="9"/>
      <c r="AL6" s="9"/>
    </row>
    <row r="7" spans="3:38" ht="15.75">
      <c r="C7" s="196" t="s">
        <v>120</v>
      </c>
      <c r="D7" s="35"/>
      <c r="E7" s="35"/>
      <c r="F7" s="35"/>
      <c r="G7" s="35"/>
      <c r="H7" s="35"/>
      <c r="I7" s="236">
        <f>'IO'!J20</f>
        <v>1.5</v>
      </c>
      <c r="J7" s="236"/>
      <c r="K7" s="16"/>
      <c r="L7" s="198" t="s">
        <v>131</v>
      </c>
      <c r="M7" s="198"/>
      <c r="N7" s="198"/>
      <c r="O7" s="198"/>
      <c r="P7" s="198"/>
      <c r="Q7" s="198"/>
      <c r="R7" s="238">
        <f>'IO'!C14</f>
        <v>60</v>
      </c>
      <c r="S7" s="242"/>
      <c r="V7" s="152"/>
      <c r="W7" s="152"/>
      <c r="X7" s="152"/>
      <c r="Y7" s="152"/>
      <c r="Z7" s="152"/>
      <c r="AA7" s="152"/>
      <c r="AB7" s="152"/>
      <c r="AC7" s="152"/>
      <c r="AD7" s="152"/>
      <c r="AE7" s="152"/>
      <c r="AF7" s="152"/>
      <c r="AG7" s="152"/>
      <c r="AH7" s="152"/>
      <c r="AI7" s="152"/>
      <c r="AJ7" s="9"/>
      <c r="AK7" s="9"/>
      <c r="AL7" s="9"/>
    </row>
    <row r="8" spans="3:38" ht="15.75">
      <c r="C8" s="196" t="s">
        <v>121</v>
      </c>
      <c r="D8" s="35"/>
      <c r="E8" s="35"/>
      <c r="F8" s="35"/>
      <c r="G8" s="35"/>
      <c r="H8" s="35"/>
      <c r="I8" s="236">
        <f>IF('IO'!J21&gt;0.333334,"ERROR",IF('IO'!J21&lt;0,"ERROR",'IO'!J21))</f>
        <v>0</v>
      </c>
      <c r="J8" s="236"/>
      <c r="K8" s="16"/>
      <c r="L8" s="198"/>
      <c r="M8" s="198"/>
      <c r="N8" s="198"/>
      <c r="O8" s="198"/>
      <c r="P8" s="198"/>
      <c r="Q8" s="198"/>
      <c r="R8" s="243"/>
      <c r="S8" s="244"/>
      <c r="V8" s="152"/>
      <c r="W8" s="152"/>
      <c r="X8" s="152"/>
      <c r="Y8" s="152"/>
      <c r="Z8" s="152"/>
      <c r="AA8" s="152"/>
      <c r="AB8" s="152"/>
      <c r="AC8" s="152"/>
      <c r="AD8" s="152"/>
      <c r="AE8" s="152"/>
      <c r="AF8" s="152"/>
      <c r="AG8" s="152"/>
      <c r="AH8" s="152"/>
      <c r="AI8" s="152"/>
      <c r="AJ8" s="9"/>
      <c r="AK8" s="9"/>
      <c r="AL8" s="9"/>
    </row>
    <row r="9" spans="3:38" ht="15.75">
      <c r="C9" s="208" t="s">
        <v>166</v>
      </c>
      <c r="D9" s="190"/>
      <c r="E9" s="190"/>
      <c r="F9" s="190"/>
      <c r="G9" s="190"/>
      <c r="H9" s="190"/>
      <c r="I9" s="239">
        <f>IF('IO'!J22&gt;0.333334,"ERROR",IF('IO'!J22&lt;0,"ERROR",'IO'!J22))</f>
        <v>0</v>
      </c>
      <c r="J9" s="239"/>
      <c r="K9" s="189"/>
      <c r="L9" s="199"/>
      <c r="M9" s="199"/>
      <c r="N9" s="199"/>
      <c r="O9" s="199"/>
      <c r="P9" s="199"/>
      <c r="Q9" s="199"/>
      <c r="R9" s="190"/>
      <c r="S9" s="206"/>
      <c r="V9" s="152"/>
      <c r="W9" s="152"/>
      <c r="X9" s="152"/>
      <c r="Y9" s="152"/>
      <c r="Z9" s="152"/>
      <c r="AA9" s="152"/>
      <c r="AB9" s="152"/>
      <c r="AC9" s="152"/>
      <c r="AD9" s="152"/>
      <c r="AE9" s="152"/>
      <c r="AF9" s="152"/>
      <c r="AG9" s="152"/>
      <c r="AH9" s="152"/>
      <c r="AI9" s="152"/>
      <c r="AJ9" s="9"/>
      <c r="AK9" s="9"/>
      <c r="AL9" s="9"/>
    </row>
    <row r="10" spans="3:38" ht="15.75">
      <c r="C10" s="198"/>
      <c r="D10" s="35"/>
      <c r="E10" s="35"/>
      <c r="F10" s="35"/>
      <c r="G10" s="35"/>
      <c r="H10" s="35"/>
      <c r="I10" s="205"/>
      <c r="J10" s="205"/>
      <c r="K10" s="16"/>
      <c r="L10" s="198"/>
      <c r="M10" s="198"/>
      <c r="N10" s="198"/>
      <c r="O10" s="198"/>
      <c r="P10" s="198"/>
      <c r="Q10" s="198"/>
      <c r="R10" s="35"/>
      <c r="S10" s="35"/>
      <c r="V10" s="152"/>
      <c r="W10" s="152"/>
      <c r="X10" s="152"/>
      <c r="Y10" s="152"/>
      <c r="Z10" s="152"/>
      <c r="AA10" s="152"/>
      <c r="AB10" s="152"/>
      <c r="AC10" s="152"/>
      <c r="AD10" s="152"/>
      <c r="AE10" s="152"/>
      <c r="AF10" s="152"/>
      <c r="AG10" s="152"/>
      <c r="AH10" s="152"/>
      <c r="AI10" s="152"/>
      <c r="AJ10" s="9"/>
      <c r="AK10" s="9"/>
      <c r="AL10" s="9"/>
    </row>
    <row r="11" spans="4:38" ht="20.25" customHeight="1" thickBot="1">
      <c r="D11" s="10"/>
      <c r="E11" s="152"/>
      <c r="F11" s="152"/>
      <c r="Q11" s="152"/>
      <c r="R11" s="152"/>
      <c r="S11" s="152"/>
      <c r="T11" s="152"/>
      <c r="U11" s="152"/>
      <c r="V11" s="152"/>
      <c r="W11" s="152"/>
      <c r="X11" s="152"/>
      <c r="Y11" s="152"/>
      <c r="Z11" s="152"/>
      <c r="AA11" s="152"/>
      <c r="AB11" s="152"/>
      <c r="AC11" s="152"/>
      <c r="AD11" s="152"/>
      <c r="AE11" s="152"/>
      <c r="AF11" s="152"/>
      <c r="AG11" s="152"/>
      <c r="AH11" s="152"/>
      <c r="AI11" s="152"/>
      <c r="AJ11" s="9"/>
      <c r="AK11" s="9"/>
      <c r="AL11" s="9"/>
    </row>
    <row r="12" spans="3:38" ht="3.75" customHeight="1">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9"/>
      <c r="AJ12" s="10"/>
      <c r="AK12" s="10"/>
      <c r="AL12" s="9"/>
    </row>
    <row r="13" spans="2:38" ht="24.75">
      <c r="B13" s="43" t="s">
        <v>76</v>
      </c>
      <c r="C13" s="42"/>
      <c r="D13" s="16"/>
      <c r="E13" s="200" t="str">
        <f>IF(ISNUMBER(VALUE(MID('IO'!$E9,1,1))),VALUE(MID('IO'!$E9,1,1)),MID('IO'!$E9,1,1))</f>
        <v>F</v>
      </c>
      <c r="F13" s="200" t="str">
        <f>IF(ISNUMBER(VALUE(MID('IO'!$E9,2,1))),VALUE(MID('IO'!$E9,2,1)),MID('IO'!$E9,2,1))</f>
        <v>a</v>
      </c>
      <c r="G13" s="200" t="str">
        <f>IF(ISNUMBER(VALUE(MID('IO'!$E9,3,1))),VALUE(MID('IO'!$E9,3,1)),MID('IO'!$E9,3,1))</f>
        <v>i</v>
      </c>
      <c r="H13" s="200" t="str">
        <f>IF(ISNUMBER(VALUE(MID('IO'!$E9,4,1))),VALUE(MID('IO'!$E9,4,1)),MID('IO'!$E9,4,1))</f>
        <v>r</v>
      </c>
      <c r="I13" s="200" t="str">
        <f>IF(ISNUMBER(VALUE(MID('IO'!$E9,5,1))),VALUE(MID('IO'!$E9,5,1)),MID('IO'!$E9,5,1))</f>
        <v>b</v>
      </c>
      <c r="J13" s="200" t="str">
        <f>IF(ISNUMBER(VALUE(MID('IO'!$E9,6,1))),VALUE(MID('IO'!$E9,6,1)),MID('IO'!$E9,6,1))</f>
        <v>a</v>
      </c>
      <c r="K13" s="200" t="str">
        <f>IF(ISNUMBER(VALUE(MID('IO'!$E9,7,1))),VALUE(MID('IO'!$E9,7,1)),MID('IO'!$E9,7,1))</f>
        <v>n</v>
      </c>
      <c r="L13" s="200" t="str">
        <f>IF(ISNUMBER(VALUE(MID('IO'!$E9,8,1))),VALUE(MID('IO'!$E9,8,1)),MID('IO'!$E9,8,1))</f>
        <v>k</v>
      </c>
      <c r="M13" s="200" t="str">
        <f>IF(ISNUMBER(VALUE(MID('IO'!$E9,9,1))),VALUE(MID('IO'!$E9,9,1)),MID('IO'!$E9,9,1))</f>
        <v>s</v>
      </c>
      <c r="N13" s="200" t="str">
        <f>IF(ISNUMBER(VALUE(MID('IO'!$E9,10,1))),VALUE(MID('IO'!$E9,10,1)),MID('IO'!$E9,10,1))</f>
        <v> </v>
      </c>
      <c r="O13" s="200">
        <f>IF(ISNUMBER(VALUE(MID('IO'!$E9,11,1))),VALUE(MID('IO'!$E9,11,1)),MID('IO'!$E9,11,1))</f>
        <v>8</v>
      </c>
      <c r="P13" s="200">
        <f>IF(ISNUMBER(VALUE(MID('IO'!$E9,12,1))),VALUE(MID('IO'!$E9,12,1)),MID('IO'!$E9,12,1))</f>
        <v>0</v>
      </c>
      <c r="Q13" s="200">
        <f>IF(ISNUMBER(VALUE(MID('IO'!$E9,13,1))),VALUE(MID('IO'!$E9,13,1)),MID('IO'!$E9,13,1))</f>
        <v>0</v>
      </c>
      <c r="R13" s="200">
        <f>IF(ISNUMBER(VALUE(MID('IO'!$E9,14,1))),VALUE(MID('IO'!$E9,14,1)),MID('IO'!$E9,14,1))</f>
      </c>
      <c r="S13" s="200">
        <f>IF(ISNUMBER(VALUE(MID('IO'!$E9,15,1))),VALUE(MID('IO'!$E9,15,1)),MID('IO'!$E9,15,1))</f>
      </c>
      <c r="T13" s="200">
        <f>IF(ISNUMBER(VALUE(MID('IO'!$E9,16,1))),VALUE(MID('IO'!$E9,16,1)),MID('IO'!$E9,16,1))</f>
      </c>
      <c r="U13" s="200">
        <f>IF(ISNUMBER(VALUE(MID('IO'!$E9,17,1))),VALUE(MID('IO'!$E9,17,1)),MID('IO'!$E9,17,1))</f>
      </c>
      <c r="V13" s="200">
        <f>IF(ISNUMBER(VALUE(MID('IO'!$E9,18,1))),VALUE(MID('IO'!$E9,18,1)),MID('IO'!$E9,18,1))</f>
      </c>
      <c r="W13" s="200">
        <f>IF(ISNUMBER(VALUE(MID('IO'!$E9,19,1))),VALUE(MID('IO'!$E9,19,1)),MID('IO'!$E9,19,1))</f>
      </c>
      <c r="X13" s="200">
        <f>IF(ISNUMBER(VALUE(MID('IO'!$E9,20,1))),VALUE(MID('IO'!$E9,20,1)),MID('IO'!$E9,20,1))</f>
      </c>
      <c r="Y13" s="200">
        <f>IF(ISNUMBER(VALUE(MID('IO'!$E9,21,1))),VALUE(MID('IO'!$E9,21,1)),MID('IO'!$E9,21,1))</f>
      </c>
      <c r="Z13" s="200">
        <f>IF(ISNUMBER(VALUE(MID('IO'!$E9,22,1))),VALUE(MID('IO'!$E9,22,1)),MID('IO'!$E9,22,1))</f>
      </c>
      <c r="AA13" s="200">
        <f>IF(ISNUMBER(VALUE(MID('IO'!$E9,23,1))),VALUE(MID('IO'!$E9,23,1)),MID('IO'!$E9,23,1))</f>
      </c>
      <c r="AB13" s="200">
        <f>IF(ISNUMBER(VALUE(MID('IO'!$E9,24,1))),VALUE(MID('IO'!$E9,24,1)),MID('IO'!$E9,24,1))</f>
      </c>
      <c r="AC13" s="200">
        <f>IF(ISNUMBER(VALUE(MID('IO'!$E9,25,1))),VALUE(MID('IO'!$E9,25,1)),MID('IO'!$E9,25,1))</f>
      </c>
      <c r="AD13" s="200">
        <f>IF(ISNUMBER(VALUE(MID('IO'!$E9,26,1))),VALUE(MID('IO'!$E9,26,1)),MID('IO'!$E9,26,1))</f>
      </c>
      <c r="AE13" s="200">
        <f>IF(ISNUMBER(VALUE(MID('IO'!$E9,27,1))),VALUE(MID('IO'!$E9,27,1)),MID('IO'!$E9,27,1))</f>
      </c>
      <c r="AF13" s="200">
        <f>IF(ISNUMBER(VALUE(MID('IO'!$E9,28,1))),VALUE(MID('IO'!$E9,28,1)),MID('IO'!$E9,28,1))</f>
      </c>
      <c r="AG13" s="200">
        <f>IF(ISNUMBER(VALUE(MID('IO'!$E9,29,1))),VALUE(MID('IO'!$E9,29,1)),MID('IO'!$E9,29,1))</f>
      </c>
      <c r="AH13" s="200">
        <f>IF(ISNUMBER(VALUE(MID('IO'!$E9,30,1))),VALUE(MID('IO'!$E9,30,1)),MID('IO'!$E9,30,1))</f>
      </c>
      <c r="AI13" s="20"/>
      <c r="AJ13" s="13"/>
      <c r="AK13" s="33"/>
      <c r="AL13" s="12"/>
    </row>
    <row r="14" spans="2:37" s="128" customFormat="1" ht="11.25">
      <c r="B14" s="128" t="s">
        <v>130</v>
      </c>
      <c r="C14" s="157"/>
      <c r="D14" s="158"/>
      <c r="E14" s="158" t="str">
        <f>IF(E13="","",IF(ISNUMBER(FIND(E13,"abcdefghijklmnopqrstuvwxyz",1)),"L",IF(ISNUMBER(FIND(E13,"ABCDEFGHIJKLMNOPQRSTUVWXYZ",1)),"U","")))</f>
        <v>U</v>
      </c>
      <c r="F14" s="158" t="str">
        <f aca="true" t="shared" si="0" ref="F14:AH14">IF(F13="","",IF(ISNUMBER(FIND(F13,"abcdefghijklmnopqrstuvwxyz",1)),"L",IF(ISNUMBER(FIND(F13,"ABCDEFGHIJKLMNOPQRSTUVWXYZ",1)),"U","")))</f>
        <v>L</v>
      </c>
      <c r="G14" s="158" t="str">
        <f t="shared" si="0"/>
        <v>L</v>
      </c>
      <c r="H14" s="158" t="str">
        <f t="shared" si="0"/>
        <v>L</v>
      </c>
      <c r="I14" s="158" t="str">
        <f t="shared" si="0"/>
        <v>L</v>
      </c>
      <c r="J14" s="158" t="str">
        <f t="shared" si="0"/>
        <v>L</v>
      </c>
      <c r="K14" s="158" t="str">
        <f t="shared" si="0"/>
        <v>L</v>
      </c>
      <c r="L14" s="158" t="str">
        <f t="shared" si="0"/>
        <v>L</v>
      </c>
      <c r="M14" s="158" t="str">
        <f t="shared" si="0"/>
        <v>L</v>
      </c>
      <c r="N14" s="158">
        <f t="shared" si="0"/>
      </c>
      <c r="O14" s="158">
        <f t="shared" si="0"/>
      </c>
      <c r="P14" s="158">
        <f t="shared" si="0"/>
      </c>
      <c r="Q14" s="158">
        <f t="shared" si="0"/>
      </c>
      <c r="R14" s="158">
        <f t="shared" si="0"/>
      </c>
      <c r="S14" s="158">
        <f t="shared" si="0"/>
      </c>
      <c r="T14" s="158">
        <f t="shared" si="0"/>
      </c>
      <c r="U14" s="158">
        <f t="shared" si="0"/>
      </c>
      <c r="V14" s="158">
        <f t="shared" si="0"/>
      </c>
      <c r="W14" s="158">
        <f t="shared" si="0"/>
      </c>
      <c r="X14" s="158">
        <f t="shared" si="0"/>
      </c>
      <c r="Y14" s="158">
        <f t="shared" si="0"/>
      </c>
      <c r="Z14" s="158">
        <f t="shared" si="0"/>
      </c>
      <c r="AA14" s="158">
        <f t="shared" si="0"/>
      </c>
      <c r="AB14" s="158">
        <f t="shared" si="0"/>
      </c>
      <c r="AC14" s="158">
        <f t="shared" si="0"/>
      </c>
      <c r="AD14" s="158">
        <f t="shared" si="0"/>
      </c>
      <c r="AE14" s="158">
        <f t="shared" si="0"/>
      </c>
      <c r="AF14" s="158">
        <f t="shared" si="0"/>
      </c>
      <c r="AG14" s="158">
        <f t="shared" si="0"/>
      </c>
      <c r="AH14" s="158">
        <f t="shared" si="0"/>
      </c>
      <c r="AI14" s="159"/>
      <c r="AJ14" s="160"/>
      <c r="AK14" s="158"/>
    </row>
    <row r="15" spans="2:37" s="128" customFormat="1" ht="11.25">
      <c r="B15" s="128" t="s">
        <v>125</v>
      </c>
      <c r="C15" s="157"/>
      <c r="D15" s="158"/>
      <c r="E15" s="158">
        <f>IF(ISNUMBER(E13),"N",IF(E13=" ","S",IF(OR(E13="&lt;",E13="&gt;",E13="^"),"A","")))</f>
      </c>
      <c r="F15" s="158">
        <f aca="true" t="shared" si="1" ref="F15:AH15">IF(ISNUMBER(F13),"N",IF(F13=" ","S",IF(OR(F13="&lt;",F13="&gt;",F13="^"),"A","")))</f>
      </c>
      <c r="G15" s="158">
        <f t="shared" si="1"/>
      </c>
      <c r="H15" s="158">
        <f t="shared" si="1"/>
      </c>
      <c r="I15" s="158">
        <f t="shared" si="1"/>
      </c>
      <c r="J15" s="158">
        <f t="shared" si="1"/>
      </c>
      <c r="K15" s="158">
        <f t="shared" si="1"/>
      </c>
      <c r="L15" s="158">
        <f t="shared" si="1"/>
      </c>
      <c r="M15" s="158">
        <f t="shared" si="1"/>
      </c>
      <c r="N15" s="158" t="str">
        <f t="shared" si="1"/>
        <v>S</v>
      </c>
      <c r="O15" s="158" t="str">
        <f t="shared" si="1"/>
        <v>N</v>
      </c>
      <c r="P15" s="158" t="str">
        <f t="shared" si="1"/>
        <v>N</v>
      </c>
      <c r="Q15" s="158" t="str">
        <f t="shared" si="1"/>
        <v>N</v>
      </c>
      <c r="R15" s="158">
        <f t="shared" si="1"/>
      </c>
      <c r="S15" s="158">
        <f t="shared" si="1"/>
      </c>
      <c r="T15" s="158">
        <f t="shared" si="1"/>
      </c>
      <c r="U15" s="158">
        <f t="shared" si="1"/>
      </c>
      <c r="V15" s="158">
        <f t="shared" si="1"/>
      </c>
      <c r="W15" s="158">
        <f t="shared" si="1"/>
      </c>
      <c r="X15" s="158">
        <f t="shared" si="1"/>
      </c>
      <c r="Y15" s="158">
        <f t="shared" si="1"/>
      </c>
      <c r="Z15" s="158">
        <f t="shared" si="1"/>
      </c>
      <c r="AA15" s="158">
        <f t="shared" si="1"/>
      </c>
      <c r="AB15" s="158">
        <f t="shared" si="1"/>
      </c>
      <c r="AC15" s="158">
        <f t="shared" si="1"/>
      </c>
      <c r="AD15" s="158">
        <f t="shared" si="1"/>
      </c>
      <c r="AE15" s="158">
        <f t="shared" si="1"/>
      </c>
      <c r="AF15" s="158">
        <f t="shared" si="1"/>
      </c>
      <c r="AG15" s="158">
        <f t="shared" si="1"/>
      </c>
      <c r="AH15" s="158">
        <f t="shared" si="1"/>
      </c>
      <c r="AI15" s="159"/>
      <c r="AJ15" s="160"/>
      <c r="AK15" s="158"/>
    </row>
    <row r="16" spans="2:37" s="128" customFormat="1" ht="11.25">
      <c r="B16" s="128" t="s">
        <v>126</v>
      </c>
      <c r="C16" s="157"/>
      <c r="D16" s="158"/>
      <c r="E16" s="164">
        <f aca="true" t="shared" si="2" ref="E16:AH16">IF(E13="","",$I$4)</f>
        <v>4</v>
      </c>
      <c r="F16" s="164">
        <f t="shared" si="2"/>
        <v>4</v>
      </c>
      <c r="G16" s="164">
        <f t="shared" si="2"/>
        <v>4</v>
      </c>
      <c r="H16" s="164">
        <f t="shared" si="2"/>
        <v>4</v>
      </c>
      <c r="I16" s="164">
        <f t="shared" si="2"/>
        <v>4</v>
      </c>
      <c r="J16" s="164">
        <f t="shared" si="2"/>
        <v>4</v>
      </c>
      <c r="K16" s="164">
        <f t="shared" si="2"/>
        <v>4</v>
      </c>
      <c r="L16" s="164">
        <f t="shared" si="2"/>
        <v>4</v>
      </c>
      <c r="M16" s="164">
        <f t="shared" si="2"/>
        <v>4</v>
      </c>
      <c r="N16" s="164">
        <f t="shared" si="2"/>
        <v>4</v>
      </c>
      <c r="O16" s="164">
        <f t="shared" si="2"/>
        <v>4</v>
      </c>
      <c r="P16" s="164">
        <f t="shared" si="2"/>
        <v>4</v>
      </c>
      <c r="Q16" s="164">
        <f t="shared" si="2"/>
        <v>4</v>
      </c>
      <c r="R16" s="164">
        <f t="shared" si="2"/>
      </c>
      <c r="S16" s="164">
        <f t="shared" si="2"/>
      </c>
      <c r="T16" s="164">
        <f t="shared" si="2"/>
      </c>
      <c r="U16" s="164">
        <f t="shared" si="2"/>
      </c>
      <c r="V16" s="164">
        <f t="shared" si="2"/>
      </c>
      <c r="W16" s="164">
        <f t="shared" si="2"/>
      </c>
      <c r="X16" s="164">
        <f t="shared" si="2"/>
      </c>
      <c r="Y16" s="164">
        <f t="shared" si="2"/>
      </c>
      <c r="Z16" s="164">
        <f t="shared" si="2"/>
      </c>
      <c r="AA16" s="164">
        <f t="shared" si="2"/>
      </c>
      <c r="AB16" s="164">
        <f t="shared" si="2"/>
      </c>
      <c r="AC16" s="164">
        <f t="shared" si="2"/>
      </c>
      <c r="AD16" s="164">
        <f t="shared" si="2"/>
      </c>
      <c r="AE16" s="164">
        <f t="shared" si="2"/>
      </c>
      <c r="AF16" s="164">
        <f t="shared" si="2"/>
      </c>
      <c r="AG16" s="164">
        <f t="shared" si="2"/>
      </c>
      <c r="AH16" s="164">
        <f t="shared" si="2"/>
      </c>
      <c r="AI16" s="159"/>
      <c r="AJ16" s="160"/>
      <c r="AK16" s="158"/>
    </row>
    <row r="17" spans="1:85" s="43" customFormat="1" ht="11.25">
      <c r="A17" s="128"/>
      <c r="B17" s="128" t="s">
        <v>122</v>
      </c>
      <c r="C17" s="157"/>
      <c r="D17" s="158"/>
      <c r="E17" s="158">
        <v>0</v>
      </c>
      <c r="F17" s="158">
        <f aca="true" t="shared" si="3" ref="F17:AH17">IF(F15="S",IF(OR(AND(ISTEXT(E13),G15="N"),AND(E15="N",ISTEXT(G13))),$I$7,$I$6),0)</f>
        <v>0</v>
      </c>
      <c r="G17" s="158">
        <f t="shared" si="3"/>
        <v>0</v>
      </c>
      <c r="H17" s="158">
        <f t="shared" si="3"/>
        <v>0</v>
      </c>
      <c r="I17" s="158">
        <f t="shared" si="3"/>
        <v>0</v>
      </c>
      <c r="J17" s="158">
        <f t="shared" si="3"/>
        <v>0</v>
      </c>
      <c r="K17" s="158">
        <f t="shared" si="3"/>
        <v>0</v>
      </c>
      <c r="L17" s="158">
        <f t="shared" si="3"/>
        <v>0</v>
      </c>
      <c r="M17" s="158">
        <f t="shared" si="3"/>
        <v>0</v>
      </c>
      <c r="N17" s="158">
        <f t="shared" si="3"/>
        <v>1.5</v>
      </c>
      <c r="O17" s="158">
        <f t="shared" si="3"/>
        <v>0</v>
      </c>
      <c r="P17" s="158">
        <f t="shared" si="3"/>
        <v>0</v>
      </c>
      <c r="Q17" s="158">
        <f t="shared" si="3"/>
        <v>0</v>
      </c>
      <c r="R17" s="158">
        <f t="shared" si="3"/>
        <v>0</v>
      </c>
      <c r="S17" s="158">
        <f t="shared" si="3"/>
        <v>0</v>
      </c>
      <c r="T17" s="158">
        <f t="shared" si="3"/>
        <v>0</v>
      </c>
      <c r="U17" s="158">
        <f t="shared" si="3"/>
        <v>0</v>
      </c>
      <c r="V17" s="158">
        <f t="shared" si="3"/>
        <v>0</v>
      </c>
      <c r="W17" s="158">
        <f t="shared" si="3"/>
        <v>0</v>
      </c>
      <c r="X17" s="158">
        <f t="shared" si="3"/>
        <v>0</v>
      </c>
      <c r="Y17" s="158">
        <f t="shared" si="3"/>
        <v>0</v>
      </c>
      <c r="Z17" s="158">
        <f t="shared" si="3"/>
        <v>0</v>
      </c>
      <c r="AA17" s="158">
        <f t="shared" si="3"/>
        <v>0</v>
      </c>
      <c r="AB17" s="158">
        <f t="shared" si="3"/>
        <v>0</v>
      </c>
      <c r="AC17" s="158">
        <f t="shared" si="3"/>
        <v>0</v>
      </c>
      <c r="AD17" s="158">
        <f t="shared" si="3"/>
        <v>0</v>
      </c>
      <c r="AE17" s="158">
        <f t="shared" si="3"/>
        <v>0</v>
      </c>
      <c r="AF17" s="158">
        <f t="shared" si="3"/>
        <v>0</v>
      </c>
      <c r="AG17" s="158">
        <f t="shared" si="3"/>
        <v>0</v>
      </c>
      <c r="AH17" s="158">
        <f t="shared" si="3"/>
        <v>0</v>
      </c>
      <c r="AI17" s="159"/>
      <c r="AJ17" s="160"/>
      <c r="AK17" s="15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row>
    <row r="18" spans="1:85" s="43" customFormat="1" ht="12.75">
      <c r="A18" s="128"/>
      <c r="B18" s="128" t="s">
        <v>141</v>
      </c>
      <c r="C18" s="201" t="s">
        <v>146</v>
      </c>
      <c r="D18" s="158"/>
      <c r="E18" s="173">
        <v>0</v>
      </c>
      <c r="F18" s="174">
        <f>IF(F15="A",0,IF(F13="",0,IF(OR(F15="S",E15="S"),0,IF(F14="L",F16/4*VLOOKUP(F13,Data!$B$32:$AH$57,$C$58-3,FALSE),F16/4*VLOOKUP(F13,Data!$B$6:$AH$86,$C$58-3,FALSE)))))*(1-$I$9)</f>
        <v>0.52</v>
      </c>
      <c r="G18" s="174">
        <f>IF(G15="A",0,IF(G13="",0,IF(OR(G15="S",F15="S"),0,IF(G14="L",G16/4*VLOOKUP(G13,Data!$B$32:$AH$57,$C$58-3,FALSE),G16/4*VLOOKUP(G13,Data!$B$6:$AH$86,$C$58-3,FALSE)))))*(1-$I$9)</f>
        <v>0.68</v>
      </c>
      <c r="H18" s="174">
        <f>IF(H15="A",0,IF(H13="",0,IF(OR(H15="S",G15="S"),0,IF(H14="L",H16/4*VLOOKUP(H13,Data!$B$32:$AH$57,$C$58-3,FALSE),H16/4*VLOOKUP(H13,Data!$B$6:$AH$86,$C$58-3,FALSE)))))*(1-$I$9)</f>
        <v>0.76</v>
      </c>
      <c r="I18" s="174">
        <f>IF(I15="A",0,IF(I13="",0,IF(OR(I15="S",H15="S"),0,IF(I14="L",I16/4*VLOOKUP(I13,Data!$B$32:$AH$57,$C$58-3,FALSE),I16/4*VLOOKUP(I13,Data!$B$6:$AH$86,$C$58-3,FALSE)))))*(1-$I$9)</f>
        <v>0.76</v>
      </c>
      <c r="J18" s="174">
        <f>IF(J15="A",0,IF(J13="",0,IF(OR(J15="S",I15="S"),0,IF(J14="L",J16/4*VLOOKUP(J13,Data!$B$32:$AH$57,$C$58-3,FALSE),J16/4*VLOOKUP(J13,Data!$B$6:$AH$86,$C$58-3,FALSE)))))*(1-$I$9)</f>
        <v>0.52</v>
      </c>
      <c r="K18" s="174">
        <f>IF(K15="A",0,IF(K13="",0,IF(OR(K15="S",J15="S"),0,IF(K14="L",K16/4*VLOOKUP(K13,Data!$B$32:$AH$57,$C$58-3,FALSE),K16/4*VLOOKUP(K13,Data!$B$6:$AH$86,$C$58-3,FALSE)))))*(1-$I$9)</f>
        <v>0.76</v>
      </c>
      <c r="L18" s="174">
        <f>IF(L15="A",0,IF(L13="",0,IF(OR(L15="S",K15="S"),0,IF(L14="L",L16/4*VLOOKUP(L13,Data!$B$32:$AH$57,$C$58-3,FALSE),L16/4*VLOOKUP(L13,Data!$B$6:$AH$86,$C$58-3,FALSE)))))*(1-$I$9)</f>
        <v>0.76</v>
      </c>
      <c r="M18" s="174">
        <f>IF(M15="A",0,IF(M13="",0,IF(OR(M15="S",L15="S"),0,IF(M14="L",M16/4*VLOOKUP(M13,Data!$B$32:$AH$57,$C$58-3,FALSE),M16/4*VLOOKUP(M13,Data!$B$6:$AH$86,$C$58-3,FALSE)))))*(1-$I$9)</f>
        <v>0.44</v>
      </c>
      <c r="N18" s="174">
        <f>IF(N15="A",0,IF(N13="",0,IF(OR(N15="S",M15="S"),0,IF(N14="L",N16/4*VLOOKUP(N13,Data!$B$32:$AH$57,$C$58-3,FALSE),N16/4*VLOOKUP(N13,Data!$B$6:$AH$86,$C$58-3,FALSE)))))*(1-$I$9)</f>
        <v>0</v>
      </c>
      <c r="O18" s="174">
        <f>IF(O15="A",0,IF(O13="",0,IF(OR(O15="S",N15="S"),0,IF(O14="L",O16/4*VLOOKUP(O13,Data!$B$32:$AH$57,$C$58-3,FALSE),O16/4*VLOOKUP(O13,Data!$B$6:$AH$86,$C$58-3,FALSE)))))*(1-$I$9)</f>
        <v>0</v>
      </c>
      <c r="P18" s="174">
        <f>IF(P15="A",0,IF(P13="",0,IF(OR(P15="S",O15="S"),0,IF(P14="L",P16/4*VLOOKUP(P13,Data!$B$32:$AH$57,$C$58-3,FALSE),P16/4*VLOOKUP(P13,Data!$B$6:$AH$86,$C$58-3,FALSE)))))*(1-$I$9)</f>
        <v>0.68</v>
      </c>
      <c r="Q18" s="174">
        <f>IF(Q15="A",0,IF(Q13="",0,IF(OR(Q15="S",P15="S"),0,IF(Q14="L",Q16/4*VLOOKUP(Q13,Data!$B$32:$AH$57,$C$58-3,FALSE),Q16/4*VLOOKUP(Q13,Data!$B$6:$AH$86,$C$58-3,FALSE)))))*(1-$I$9)</f>
        <v>0.68</v>
      </c>
      <c r="R18" s="174">
        <f>IF(R15="A",0,IF(R13="",0,IF(OR(R15="S",Q15="S"),0,IF(R14="L",R16/4*VLOOKUP(R13,Data!$B$32:$AH$57,$C$58-3,FALSE),R16/4*VLOOKUP(R13,Data!$B$6:$AH$86,$C$58-3,FALSE)))))*(1-$I$9)</f>
        <v>0</v>
      </c>
      <c r="S18" s="174">
        <f>IF(S15="A",0,IF(S13="",0,IF(OR(S15="S",R15="S"),0,IF(S14="L",S16/4*VLOOKUP(S13,Data!$B$32:$AH$57,$C$58-3,FALSE),S16/4*VLOOKUP(S13,Data!$B$6:$AH$86,$C$58-3,FALSE)))))*(1-$I$9)</f>
        <v>0</v>
      </c>
      <c r="T18" s="174">
        <f>IF(T15="A",0,IF(T13="",0,IF(OR(T15="S",S15="S"),0,IF(T14="L",T16/4*VLOOKUP(T13,Data!$B$32:$AH$57,$C$58-3,FALSE),T16/4*VLOOKUP(T13,Data!$B$6:$AH$86,$C$58-3,FALSE)))))*(1-$I$9)</f>
        <v>0</v>
      </c>
      <c r="U18" s="174">
        <f>IF(U15="A",0,IF(U13="",0,IF(OR(U15="S",T15="S"),0,IF(U14="L",U16/4*VLOOKUP(U13,Data!$B$32:$AH$57,$C$58-3,FALSE),U16/4*VLOOKUP(U13,Data!$B$6:$AH$86,$C$58-3,FALSE)))))*(1-$I$9)</f>
        <v>0</v>
      </c>
      <c r="V18" s="174">
        <f>IF(V15="A",0,IF(V13="",0,IF(OR(V15="S",U15="S"),0,IF(V14="L",V16/4*VLOOKUP(V13,Data!$B$32:$AH$57,$C$58-3,FALSE),V16/4*VLOOKUP(V13,Data!$B$6:$AH$86,$C$58-3,FALSE)))))*(1-$I$9)</f>
        <v>0</v>
      </c>
      <c r="W18" s="174">
        <f>IF(W15="A",0,IF(W13="",0,IF(OR(W15="S",V15="S"),0,IF(W14="L",W16/4*VLOOKUP(W13,Data!$B$32:$AH$57,$C$58-3,FALSE),W16/4*VLOOKUP(W13,Data!$B$6:$AH$86,$C$58-3,FALSE)))))*(1-$I$9)</f>
        <v>0</v>
      </c>
      <c r="X18" s="174">
        <f>IF(X15="A",0,IF(X13="",0,IF(OR(X15="S",W15="S"),0,IF(X14="L",X16/4*VLOOKUP(X13,Data!$B$32:$AH$57,$C$58-3,FALSE),X16/4*VLOOKUP(X13,Data!$B$6:$AH$86,$C$58-3,FALSE)))))*(1-$I$9)</f>
        <v>0</v>
      </c>
      <c r="Y18" s="174">
        <f>IF(Y15="A",0,IF(Y13="",0,IF(OR(Y15="S",X15="S"),0,IF(Y14="L",Y16/4*VLOOKUP(Y13,Data!$B$32:$AH$57,$C$58-3,FALSE),Y16/4*VLOOKUP(Y13,Data!$B$6:$AH$86,$C$58-3,FALSE)))))*(1-$I$9)</f>
        <v>0</v>
      </c>
      <c r="Z18" s="174">
        <f>IF(Z15="A",0,IF(Z13="",0,IF(OR(Z15="S",Y15="S"),0,IF(Z14="L",Z16/4*VLOOKUP(Z13,Data!$B$32:$AH$57,$C$58-3,FALSE),Z16/4*VLOOKUP(Z13,Data!$B$6:$AH$86,$C$58-3,FALSE)))))*(1-$I$9)</f>
        <v>0</v>
      </c>
      <c r="AA18" s="174">
        <f>IF(AA15="A",0,IF(AA13="",0,IF(OR(AA15="S",Z15="S"),0,IF(AA14="L",AA16/4*VLOOKUP(AA13,Data!$B$32:$AH$57,$C$58-3,FALSE),AA16/4*VLOOKUP(AA13,Data!$B$6:$AH$86,$C$58-3,FALSE)))))*(1-$I$9)</f>
        <v>0</v>
      </c>
      <c r="AB18" s="174">
        <f>IF(AB15="A",0,IF(AB13="",0,IF(OR(AB15="S",AA15="S"),0,IF(AB14="L",AB16/4*VLOOKUP(AB13,Data!$B$32:$AH$57,$C$58-3,FALSE),AB16/4*VLOOKUP(AB13,Data!$B$6:$AH$86,$C$58-3,FALSE)))))*(1-$I$9)</f>
        <v>0</v>
      </c>
      <c r="AC18" s="174">
        <f>IF(AC15="A",0,IF(AC13="",0,IF(OR(AC15="S",AB15="S"),0,IF(AC14="L",AC16/4*VLOOKUP(AC13,Data!$B$32:$AH$57,$C$58-3,FALSE),AC16/4*VLOOKUP(AC13,Data!$B$6:$AH$86,$C$58-3,FALSE)))))*(1-$I$9)</f>
        <v>0</v>
      </c>
      <c r="AD18" s="174">
        <f>IF(AD15="A",0,IF(AD13="",0,IF(OR(AD15="S",AC15="S"),0,IF(AD14="L",AD16/4*VLOOKUP(AD13,Data!$B$32:$AH$57,$C$58-3,FALSE),AD16/4*VLOOKUP(AD13,Data!$B$6:$AH$86,$C$58-3,FALSE)))))*(1-$I$9)</f>
        <v>0</v>
      </c>
      <c r="AE18" s="174">
        <f>IF(AE15="A",0,IF(AE13="",0,IF(OR(AE15="S",AD15="S"),0,IF(AE14="L",AE16/4*VLOOKUP(AE13,Data!$B$32:$AH$57,$C$58-3,FALSE),AE16/4*VLOOKUP(AE13,Data!$B$6:$AH$86,$C$58-3,FALSE)))))*(1-$I$9)</f>
        <v>0</v>
      </c>
      <c r="AF18" s="174">
        <f>IF(AF15="A",0,IF(AF13="",0,IF(OR(AF15="S",AE15="S"),0,IF(AF14="L",AF16/4*VLOOKUP(AF13,Data!$B$32:$AH$57,$C$58-3,FALSE),AF16/4*VLOOKUP(AF13,Data!$B$6:$AH$86,$C$58-3,FALSE)))))*(1-$I$9)</f>
        <v>0</v>
      </c>
      <c r="AG18" s="174">
        <f>IF(AG15="A",0,IF(AG13="",0,IF(OR(AG15="S",AF15="S"),0,IF(AG14="L",AG16/4*VLOOKUP(AG13,Data!$B$32:$AH$57,$C$58-3,FALSE),AG16/4*VLOOKUP(AG13,Data!$B$6:$AH$86,$C$58-3,FALSE)))))*(1-$I$9)</f>
        <v>0</v>
      </c>
      <c r="AH18" s="175">
        <f>IF(AH15="A",0,IF(AH13="",0,IF(OR(AH15="S",AG15="S"),0,IF(AH14="L",AH16/4*VLOOKUP(AH13,Data!$B$32:$AH$57,$C$58-3,FALSE),AH16/4*VLOOKUP(AH13,Data!$B$6:$AH$86,$C$58-3,FALSE)))))*(1-$I$9)</f>
        <v>0</v>
      </c>
      <c r="AI18" s="159"/>
      <c r="AJ18" s="160"/>
      <c r="AK18" s="15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row>
    <row r="19" spans="1:85" s="43" customFormat="1" ht="12.75">
      <c r="A19" s="128"/>
      <c r="B19" s="128" t="s">
        <v>142</v>
      </c>
      <c r="C19" s="201" t="s">
        <v>147</v>
      </c>
      <c r="D19" s="158"/>
      <c r="E19" s="176">
        <f>IF(E15="A",$R$4,IF(E13="",0,IF(E15="S",E16*E17*(1-$I$8),IF(E14="L",E16/4*VLOOKUP(E13,Data!$B$32:$AH$57,$C$58-2,FALSE),E16/4*VLOOKUP(E13,Data!$B$6:$AH$86,$C$58-2,FALSE)))))</f>
        <v>2.44</v>
      </c>
      <c r="F19" s="171">
        <f>IF(F15="A",$R$4,IF(F13="",0,IF(F15="S",F16*F17*(1-$I$8),IF(F14="L",F16/4*VLOOKUP(F13,Data!$B$32:$AH$57,$C$58-2,FALSE),F16/4*VLOOKUP(F13,Data!$B$6:$AH$86,$C$58-2,FALSE)))))</f>
        <v>2.96</v>
      </c>
      <c r="G19" s="171">
        <f>IF(G15="A",$R$4,IF(G13="",0,IF(G15="S",G16*G17*(1-$I$8),IF(G14="L",G16/4*VLOOKUP(G13,Data!$B$32:$AH$57,$C$58-2,FALSE),G16/4*VLOOKUP(G13,Data!$B$6:$AH$86,$C$58-2,FALSE)))))</f>
        <v>0.92</v>
      </c>
      <c r="H19" s="171">
        <f>IF(H15="A",$R$4,IF(H13="",0,IF(H15="S",H16*H17*(1-$I$8),IF(H14="L",H16/4*VLOOKUP(H13,Data!$B$32:$AH$57,$C$58-2,FALSE),H16/4*VLOOKUP(H13,Data!$B$6:$AH$86,$C$58-2,FALSE)))))</f>
        <v>1.84</v>
      </c>
      <c r="I19" s="171">
        <f>IF(I15="A",$R$4,IF(I13="",0,IF(I15="S",I16*I17*(1-$I$8),IF(I14="L",I16/4*VLOOKUP(I13,Data!$B$32:$AH$57,$C$58-2,FALSE),I16/4*VLOOKUP(I13,Data!$B$6:$AH$86,$C$58-2,FALSE)))))</f>
        <v>2.88</v>
      </c>
      <c r="J19" s="171">
        <f>IF(J15="A",$R$4,IF(J13="",0,IF(J15="S",J16*J17*(1-$I$8),IF(J14="L",J16/4*VLOOKUP(J13,Data!$B$32:$AH$57,$C$58-2,FALSE),J16/4*VLOOKUP(J13,Data!$B$6:$AH$86,$C$58-2,FALSE)))))</f>
        <v>2.96</v>
      </c>
      <c r="K19" s="171">
        <f>IF(K15="A",$R$4,IF(K13="",0,IF(K15="S",K16*K17*(1-$I$8),IF(K14="L",K16/4*VLOOKUP(K13,Data!$B$32:$AH$57,$C$58-2,FALSE),K16/4*VLOOKUP(K13,Data!$B$6:$AH$86,$C$58-2,FALSE)))))</f>
        <v>2.76</v>
      </c>
      <c r="L19" s="171">
        <f>IF(L15="A",$R$4,IF(L13="",0,IF(L15="S",L16*L17*(1-$I$8),IF(L14="L",L16/4*VLOOKUP(L13,Data!$B$32:$AH$57,$C$58-2,FALSE),L16/4*VLOOKUP(L13,Data!$B$6:$AH$86,$C$58-2,FALSE)))))</f>
        <v>2.84</v>
      </c>
      <c r="M19" s="171">
        <f>IF(M15="A",$R$4,IF(M13="",0,IF(M15="S",M16*M17*(1-$I$8),IF(M14="L",M16/4*VLOOKUP(M13,Data!$B$32:$AH$57,$C$58-2,FALSE),M16/4*VLOOKUP(M13,Data!$B$6:$AH$86,$C$58-2,FALSE)))))</f>
        <v>2.56</v>
      </c>
      <c r="N19" s="171">
        <f>IF(N15="A",$R$4,IF(N13="",0,IF(N15="S",N16*N17*(1-$I$8),IF(N14="L",N16/4*VLOOKUP(N13,Data!$B$32:$AH$57,$C$58-2,FALSE),N16/4*VLOOKUP(N13,Data!$B$6:$AH$86,$C$58-2,FALSE)))))</f>
        <v>6</v>
      </c>
      <c r="O19" s="171">
        <f>IF(O15="A",$R$4,IF(O13="",0,IF(O15="S",O16*O17*(1-$I$8),IF(O14="L",O16/4*VLOOKUP(O13,Data!$B$32:$AH$57,$C$58-2,FALSE),O16/4*VLOOKUP(O13,Data!$B$6:$AH$86,$C$58-2,FALSE)))))</f>
        <v>2.92</v>
      </c>
      <c r="P19" s="171">
        <f>IF(P15="A",$R$4,IF(P13="",0,IF(P15="S",P16*P17*(1-$I$8),IF(P14="L",P16/4*VLOOKUP(P13,Data!$B$32:$AH$57,$C$58-2,FALSE),P16/4*VLOOKUP(P13,Data!$B$6:$AH$86,$C$58-2,FALSE)))))</f>
        <v>3.28</v>
      </c>
      <c r="Q19" s="171">
        <f>IF(Q15="A",$R$4,IF(Q13="",0,IF(Q15="S",Q16*Q17*(1-$I$8),IF(Q14="L",Q16/4*VLOOKUP(Q13,Data!$B$32:$AH$57,$C$58-2,FALSE),Q16/4*VLOOKUP(Q13,Data!$B$6:$AH$86,$C$58-2,FALSE)))))</f>
        <v>3.28</v>
      </c>
      <c r="R19" s="171">
        <f>IF(R15="A",$R$4,IF(R13="",0,IF(R15="S",R16*R17*(1-$I$8),IF(R14="L",R16/4*VLOOKUP(R13,Data!$B$32:$AH$57,$C$58-2,FALSE),R16/4*VLOOKUP(R13,Data!$B$6:$AH$86,$C$58-2,FALSE)))))</f>
        <v>0</v>
      </c>
      <c r="S19" s="171">
        <f>IF(S15="A",$R$4,IF(S13="",0,IF(S15="S",S16*S17*(1-$I$8),IF(S14="L",S16/4*VLOOKUP(S13,Data!$B$32:$AH$57,$C$58-2,FALSE),S16/4*VLOOKUP(S13,Data!$B$6:$AH$86,$C$58-2,FALSE)))))</f>
        <v>0</v>
      </c>
      <c r="T19" s="171">
        <f>IF(T15="A",$R$4,IF(T13="",0,IF(T15="S",T16*T17*(1-$I$8),IF(T14="L",T16/4*VLOOKUP(T13,Data!$B$32:$AH$57,$C$58-2,FALSE),T16/4*VLOOKUP(T13,Data!$B$6:$AH$86,$C$58-2,FALSE)))))</f>
        <v>0</v>
      </c>
      <c r="U19" s="171">
        <f>IF(U15="A",$R$4,IF(U13="",0,IF(U15="S",U16*U17*(1-$I$8),IF(U14="L",U16/4*VLOOKUP(U13,Data!$B$32:$AH$57,$C$58-2,FALSE),U16/4*VLOOKUP(U13,Data!$B$6:$AH$86,$C$58-2,FALSE)))))</f>
        <v>0</v>
      </c>
      <c r="V19" s="171">
        <f>IF(V15="A",$R$4,IF(V13="",0,IF(V15="S",V16*V17*(1-$I$8),IF(V14="L",V16/4*VLOOKUP(V13,Data!$B$32:$AH$57,$C$58-2,FALSE),V16/4*VLOOKUP(V13,Data!$B$6:$AH$86,$C$58-2,FALSE)))))</f>
        <v>0</v>
      </c>
      <c r="W19" s="171">
        <f>IF(W15="A",$R$4,IF(W13="",0,IF(W15="S",W16*W17*(1-$I$8),IF(W14="L",W16/4*VLOOKUP(W13,Data!$B$32:$AH$57,$C$58-2,FALSE),W16/4*VLOOKUP(W13,Data!$B$6:$AH$86,$C$58-2,FALSE)))))</f>
        <v>0</v>
      </c>
      <c r="X19" s="171">
        <f>IF(X15="A",$R$4,IF(X13="",0,IF(X15="S",X16*X17*(1-$I$8),IF(X14="L",X16/4*VLOOKUP(X13,Data!$B$32:$AH$57,$C$58-2,FALSE),X16/4*VLOOKUP(X13,Data!$B$6:$AH$86,$C$58-2,FALSE)))))</f>
        <v>0</v>
      </c>
      <c r="Y19" s="171">
        <f>IF(Y15="A",$R$4,IF(Y13="",0,IF(Y15="S",Y16*Y17*(1-$I$8),IF(Y14="L",Y16/4*VLOOKUP(Y13,Data!$B$32:$AH$57,$C$58-2,FALSE),Y16/4*VLOOKUP(Y13,Data!$B$6:$AH$86,$C$58-2,FALSE)))))</f>
        <v>0</v>
      </c>
      <c r="Z19" s="171">
        <f>IF(Z15="A",$R$4,IF(Z13="",0,IF(Z15="S",Z16*Z17*(1-$I$8),IF(Z14="L",Z16/4*VLOOKUP(Z13,Data!$B$32:$AH$57,$C$58-2,FALSE),Z16/4*VLOOKUP(Z13,Data!$B$6:$AH$86,$C$58-2,FALSE)))))</f>
        <v>0</v>
      </c>
      <c r="AA19" s="171">
        <f>IF(AA15="A",$R$4,IF(AA13="",0,IF(AA15="S",AA16*AA17*(1-$I$8),IF(AA14="L",AA16/4*VLOOKUP(AA13,Data!$B$32:$AH$57,$C$58-2,FALSE),AA16/4*VLOOKUP(AA13,Data!$B$6:$AH$86,$C$58-2,FALSE)))))</f>
        <v>0</v>
      </c>
      <c r="AB19" s="171">
        <f>IF(AB15="A",$R$4,IF(AB13="",0,IF(AB15="S",AB16*AB17*(1-$I$8),IF(AB14="L",AB16/4*VLOOKUP(AB13,Data!$B$32:$AH$57,$C$58-2,FALSE),AB16/4*VLOOKUP(AB13,Data!$B$6:$AH$86,$C$58-2,FALSE)))))</f>
        <v>0</v>
      </c>
      <c r="AC19" s="171">
        <f>IF(AC15="A",$R$4,IF(AC13="",0,IF(AC15="S",AC16*AC17*(1-$I$8),IF(AC14="L",AC16/4*VLOOKUP(AC13,Data!$B$32:$AH$57,$C$58-2,FALSE),AC16/4*VLOOKUP(AC13,Data!$B$6:$AH$86,$C$58-2,FALSE)))))</f>
        <v>0</v>
      </c>
      <c r="AD19" s="171">
        <f>IF(AD15="A",$R$4,IF(AD13="",0,IF(AD15="S",AD16*AD17*(1-$I$8),IF(AD14="L",AD16/4*VLOOKUP(AD13,Data!$B$32:$AH$57,$C$58-2,FALSE),AD16/4*VLOOKUP(AD13,Data!$B$6:$AH$86,$C$58-2,FALSE)))))</f>
        <v>0</v>
      </c>
      <c r="AE19" s="171">
        <f>IF(AE15="A",$R$4,IF(AE13="",0,IF(AE15="S",AE16*AE17*(1-$I$8),IF(AE14="L",AE16/4*VLOOKUP(AE13,Data!$B$32:$AH$57,$C$58-2,FALSE),AE16/4*VLOOKUP(AE13,Data!$B$6:$AH$86,$C$58-2,FALSE)))))</f>
        <v>0</v>
      </c>
      <c r="AF19" s="171">
        <f>IF(AF15="A",$R$4,IF(AF13="",0,IF(AF15="S",AF16*AF17*(1-$I$8),IF(AF14="L",AF16/4*VLOOKUP(AF13,Data!$B$32:$AH$57,$C$58-2,FALSE),AF16/4*VLOOKUP(AF13,Data!$B$6:$AH$86,$C$58-2,FALSE)))))</f>
        <v>0</v>
      </c>
      <c r="AG19" s="171">
        <f>IF(AG15="A",$R$4,IF(AG13="",0,IF(AG15="S",AG16*AG17*(1-$I$8),IF(AG14="L",AG16/4*VLOOKUP(AG13,Data!$B$32:$AH$57,$C$58-2,FALSE),AG16/4*VLOOKUP(AG13,Data!$B$6:$AH$86,$C$58-2,FALSE)))))</f>
        <v>0</v>
      </c>
      <c r="AH19" s="177">
        <f>IF(AH15="A",$R$4,IF(AH13="",0,IF(AH15="S",AH16*AH17*(1-$I$8),IF(AH14="L",AH16/4*VLOOKUP(AH13,Data!$B$32:$AH$57,$C$58-2,FALSE),AH16/4*VLOOKUP(AH13,Data!$B$6:$AH$86,$C$58-2,FALSE)))))</f>
        <v>0</v>
      </c>
      <c r="AI19" s="159"/>
      <c r="AJ19" s="160"/>
      <c r="AK19" s="15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row>
    <row r="20" spans="1:85" s="43" customFormat="1" ht="12.75">
      <c r="A20" s="128"/>
      <c r="B20" s="128" t="s">
        <v>140</v>
      </c>
      <c r="C20" s="201" t="s">
        <v>148</v>
      </c>
      <c r="D20" s="158"/>
      <c r="E20" s="178">
        <f>IF(F13="",0,IF(E15="A",0,IF(OR(E13="",F13=""),0,IF(OR(E15="S",F15="S"),0,IF(E14="L",E16/4*VLOOKUP(E13,Data!$B$32:$AH$57,$C$58-1,FALSE),E16/4*VLOOKUP(E13,Data!$B$6:$AH$86,$C$58-1,FALSE))))))*(1-$I$9)</f>
        <v>0.52</v>
      </c>
      <c r="F20" s="66">
        <f>IF(G13="",0,IF(F15="A",0,IF(OR(F13="",G13=""),0,IF(OR(F15="S",G15="S"),0,IF(F14="L",F16/4*VLOOKUP(F13,Data!$B$32:$AH$57,$C$58-1,FALSE),F16/4*VLOOKUP(F13,Data!$B$6:$AH$86,$C$58-1,FALSE))))))*(1-$I$9)</f>
        <v>0.52</v>
      </c>
      <c r="G20" s="66">
        <f>IF(H13="",0,IF(G15="A",0,IF(OR(G13="",H13=""),0,IF(OR(G15="S",H15="S"),0,IF(G14="L",G16/4*VLOOKUP(G13,Data!$B$32:$AH$57,($C$58-1),FALSE),G16/4*VLOOKUP(G13,Data!$B$6:$AH$86,($C$58-1),FALSE))))))*(1-$I$9)</f>
        <v>0.68</v>
      </c>
      <c r="H20" s="66">
        <f>IF(I13="",0,IF(H15="A",0,IF(OR(H13="",I13=""),0,IF(OR(H15="S",I15="S"),0,IF(H14="L",H16/4*VLOOKUP(H13,Data!$B$32:$AH$57,($C$58-1),FALSE),H16/4*VLOOKUP(H13,Data!$B$6:$AH$86,($C$58-1),FALSE))))))*(1-$I$9)</f>
        <v>0.4</v>
      </c>
      <c r="I20" s="66">
        <f>IF(J13="",0,IF(I15="A",0,IF(OR(I13="",J13=""),0,IF(OR(I15="S",J15="S"),0,IF(I14="L",I16/4*VLOOKUP(I13,Data!$B$32:$AH$57,($C$58-1),FALSE),I16/4*VLOOKUP(I13,Data!$B$6:$AH$86,($C$58-1),FALSE))))))*(1-$I$9)</f>
        <v>0.6</v>
      </c>
      <c r="J20" s="66">
        <f>IF(K13="",0,IF(J15="A",0,IF(OR(J13="",K13=""),0,IF(OR(J15="S",K15="S"),0,IF(J14="L",J16/4*VLOOKUP(J13,Data!$B$32:$AH$57,($C$58-1),FALSE),J16/4*VLOOKUP(J13,Data!$B$6:$AH$86,($C$58-1),FALSE))))))*(1-$I$9)</f>
        <v>0.52</v>
      </c>
      <c r="K20" s="66">
        <f>IF(L13="",0,IF(K15="A",0,IF(OR(K13="",L13=""),0,IF(OR(K15="S",L15="S"),0,IF(K14="L",K16/4*VLOOKUP(K13,Data!$B$32:$AH$57,($C$58-1),FALSE),K16/4*VLOOKUP(K13,Data!$B$6:$AH$86,($C$58-1),FALSE))))))*(1-$I$9)</f>
        <v>0.76</v>
      </c>
      <c r="L20" s="66">
        <f>IF(M13="",0,IF(L15="A",0,IF(OR(L13="",M13=""),0,IF(OR(L15="S",M15="S"),0,IF(L14="L",L16/4*VLOOKUP(L13,Data!$B$32:$AH$57,($C$58-1),FALSE),L16/4*VLOOKUP(L13,Data!$B$6:$AH$86,($C$58-1),FALSE))))))*(1-$I$9)</f>
        <v>0.28</v>
      </c>
      <c r="M20" s="66">
        <f>IF(N13="",0,IF(M15="A",0,IF(OR(M13="",N13=""),0,IF(OR(M15="S",N15="S"),0,IF(M14="L",M16/4*VLOOKUP(M13,Data!$B$32:$AH$57,($C$58-1),FALSE),M16/4*VLOOKUP(M13,Data!$B$6:$AH$86,($C$58-1),FALSE))))))*(1-$I$9)</f>
        <v>0</v>
      </c>
      <c r="N20" s="66">
        <f>IF(O13="",0,IF(N15="A",0,IF(OR(N13="",O13=""),0,IF(OR(N15="S",O15="S"),0,IF(N14="L",N16/4*VLOOKUP(N13,Data!$B$32:$AH$57,($C$58-1),FALSE),N16/4*VLOOKUP(N13,Data!$B$6:$AH$86,($C$58-1),FALSE))))))*(1-$I$9)</f>
        <v>0</v>
      </c>
      <c r="O20" s="66">
        <f>IF(P13="",0,IF(O15="A",0,IF(OR(O13="",P13=""),0,IF(OR(O15="S",P15="S"),0,IF(O14="L",O16/4*VLOOKUP(O13,Data!$B$32:$AH$57,($C$58-1),FALSE),O16/4*VLOOKUP(O13,Data!$B$6:$AH$86,($C$58-1),FALSE))))))*(1-$I$9)</f>
        <v>0.64</v>
      </c>
      <c r="P20" s="66">
        <f>IF(Q13="",0,IF(P15="A",0,IF(OR(P13="",Q13=""),0,IF(OR(P15="S",Q15="S"),0,IF(P14="L",P16/4*VLOOKUP(P13,Data!$B$32:$AH$57,($C$58-1),FALSE),P16/4*VLOOKUP(P13,Data!$B$6:$AH$86,($C$58-1),FALSE))))))*(1-$I$9)</f>
        <v>0.68</v>
      </c>
      <c r="Q20" s="66">
        <f>IF(R13="",0,IF(Q15="A",0,IF(OR(Q13="",R13=""),0,IF(OR(Q15="S",R15="S"),0,IF(Q14="L",Q16/4*VLOOKUP(Q13,Data!$B$32:$AH$57,($C$58-1),FALSE),Q16/4*VLOOKUP(Q13,Data!$B$6:$AH$86,($C$58-1),FALSE))))))*(1-$I$9)</f>
        <v>0</v>
      </c>
      <c r="R20" s="66">
        <f>IF(S13="",0,IF(R15="A",0,IF(OR(R13="",S13=""),0,IF(OR(R15="S",S15="S"),0,IF(R14="L",R16/4*VLOOKUP(R13,Data!$B$32:$AH$57,($C$58-1),FALSE),R16/4*VLOOKUP(R13,Data!$B$6:$AH$86,($C$58-1),FALSE))))))*(1-$I$9)</f>
        <v>0</v>
      </c>
      <c r="S20" s="66">
        <f>IF(T13="",0,IF(S15="A",0,IF(OR(S13="",T13=""),0,IF(OR(S15="S",T15="S"),0,IF(S14="L",S16/4*VLOOKUP(S13,Data!$B$32:$AH$57,($C$58-1),FALSE),S16/4*VLOOKUP(S13,Data!$B$6:$AH$86,($C$58-1),FALSE))))))*(1-$I$9)</f>
        <v>0</v>
      </c>
      <c r="T20" s="66">
        <f>IF(U13="",0,IF(T15="A",0,IF(OR(T13="",U13=""),0,IF(OR(T15="S",U15="S"),0,IF(T14="L",T16/4*VLOOKUP(T13,Data!$B$32:$AH$57,($C$58-1),FALSE),T16/4*VLOOKUP(T13,Data!$B$6:$AH$86,($C$58-1),FALSE))))))*(1-$I$9)</f>
        <v>0</v>
      </c>
      <c r="U20" s="66">
        <f>IF(V13="",0,IF(U15="A",0,IF(OR(U13="",V13=""),0,IF(OR(U15="S",V15="S"),0,IF(U14="L",U16/4*VLOOKUP(U13,Data!$B$32:$AH$57,($C$58-1),FALSE),U16/4*VLOOKUP(U13,Data!$B$6:$AH$86,($C$58-1),FALSE))))))*(1-$I$9)</f>
        <v>0</v>
      </c>
      <c r="V20" s="66">
        <f>IF(W13="",0,IF(V15="A",0,IF(OR(V13="",W13=""),0,IF(OR(V15="S",W15="S"),0,IF(V14="L",V16/4*VLOOKUP(V13,Data!$B$32:$AH$57,($C$58-1),FALSE),V16/4*VLOOKUP(V13,Data!$B$6:$AH$86,($C$58-1),FALSE))))))*(1-$I$9)</f>
        <v>0</v>
      </c>
      <c r="W20" s="66">
        <f>IF(X13="",0,IF(W15="A",0,IF(OR(W13="",X13=""),0,IF(OR(W15="S",X15="S"),0,IF(W14="L",W16/4*VLOOKUP(W13,Data!$B$32:$AH$57,($C$58-1),FALSE),W16/4*VLOOKUP(W13,Data!$B$6:$AH$86,($C$58-1),FALSE))))))*(1-$I$9)</f>
        <v>0</v>
      </c>
      <c r="X20" s="66">
        <f>IF(Y13="",0,IF(X15="A",0,IF(OR(X13="",Y13=""),0,IF(OR(X15="S",Y15="S"),0,IF(X14="L",X16/4*VLOOKUP(X13,Data!$B$32:$AH$57,($C$58-1),FALSE),X16/4*VLOOKUP(X13,Data!$B$6:$AH$86,($C$58-1),FALSE))))))*(1-$I$9)</f>
        <v>0</v>
      </c>
      <c r="Y20" s="66">
        <f>IF(Z13="",0,IF(Y15="A",0,IF(OR(Y13="",Z13=""),0,IF(OR(Y15="S",Z15="S"),0,IF(Y14="L",Y16/4*VLOOKUP(Y13,Data!$B$32:$AH$57,($C$58-1),FALSE),Y16/4*VLOOKUP(Y13,Data!$B$6:$AH$86,($C$58-1),FALSE))))))*(1-$I$9)</f>
        <v>0</v>
      </c>
      <c r="Z20" s="66">
        <f>IF(AA13="",0,IF(Z15="A",0,IF(OR(Z13="",AA13=""),0,IF(OR(Z15="S",AA15="S"),0,IF(Z14="L",Z16/4*VLOOKUP(Z13,Data!$B$32:$AH$57,($C$58-1),FALSE),Z16/4*VLOOKUP(Z13,Data!$B$6:$AH$86,($C$58-1),FALSE))))))*(1-$I$9)</f>
        <v>0</v>
      </c>
      <c r="AA20" s="66">
        <f>IF(AB13="",0,IF(AA15="A",0,IF(OR(AA13="",AB13=""),0,IF(OR(AA15="S",AB15="S"),0,IF(AA14="L",AA16/4*VLOOKUP(AA13,Data!$B$32:$AH$57,($C$58-1),FALSE),AA16/4*VLOOKUP(AA13,Data!$B$6:$AH$86,($C$58-1),FALSE))))))*(1-$I$9)</f>
        <v>0</v>
      </c>
      <c r="AB20" s="66">
        <f>IF(AC13="",0,IF(AB15="A",0,IF(OR(AB13="",AC13=""),0,IF(OR(AB15="S",AC15="S"),0,IF(AB14="L",AB16/4*VLOOKUP(AB13,Data!$B$32:$AH$57,($C$58-1),FALSE),AB16/4*VLOOKUP(AB13,Data!$B$6:$AH$86,($C$58-1),FALSE))))))*(1-$I$9)</f>
        <v>0</v>
      </c>
      <c r="AC20" s="66">
        <f>IF(AD13="",0,IF(AC15="A",0,IF(OR(AC13="",AD13=""),0,IF(OR(AC15="S",AD15="S"),0,IF(AC14="L",AC16/4*VLOOKUP(AC13,Data!$B$32:$AH$57,($C$58-1),FALSE),AC16/4*VLOOKUP(AC13,Data!$B$6:$AH$86,($C$58-1),FALSE))))))*(1-$I$9)</f>
        <v>0</v>
      </c>
      <c r="AD20" s="66">
        <f>IF(AE13="",0,IF(AD15="A",0,IF(OR(AD13="",AE13=""),0,IF(OR(AD15="S",AE15="S"),0,IF(AD14="L",AD16/4*VLOOKUP(AD13,Data!$B$32:$AH$57,($C$58-1),FALSE),AD16/4*VLOOKUP(AD13,Data!$B$6:$AH$86,($C$58-1),FALSE))))))*(1-$I$9)</f>
        <v>0</v>
      </c>
      <c r="AE20" s="66">
        <f>IF(AF13="",0,IF(AE15="A",0,IF(OR(AE13="",AF13=""),0,IF(OR(AE15="S",AF15="S"),0,IF(AE14="L",AE16/4*VLOOKUP(AE13,Data!$B$32:$AH$57,($C$58-1),FALSE),AE16/4*VLOOKUP(AE13,Data!$B$6:$AH$86,($C$58-1),FALSE))))))*(1-$I$9)</f>
        <v>0</v>
      </c>
      <c r="AF20" s="66">
        <f>IF(AG13="",0,IF(AF15="A",0,IF(OR(AF13="",AG13=""),0,IF(OR(AF15="S",AG15="S"),0,IF(AF14="L",AF16/4*VLOOKUP(AF13,Data!$B$32:$AH$57,($C$58-1),FALSE),AF16/4*VLOOKUP(AF13,Data!$B$6:$AH$86,($C$58-1),FALSE))))))*(1-$I$9)</f>
        <v>0</v>
      </c>
      <c r="AG20" s="66">
        <f>IF(AH13="",0,IF(AG15="A",0,IF(OR(AG13="",AH13=""),0,IF(OR(AG15="S",AH15="S"),0,IF(AG14="L",AG16/4*VLOOKUP(AG13,Data!$B$32:$AH$57,($C$58-1),FALSE),AG16/4*VLOOKUP(AG13,Data!$B$6:$AH$86,($C$58-1),FALSE))))))*(1-$I$9)</f>
        <v>0</v>
      </c>
      <c r="AH20" s="179">
        <f>IF(AI13="",0,IF(AH15="A",0,IF(OR(AH13="",AI13=""),0,IF(OR(AH15="S",AI15="S"),0,IF(AH14="L",AH16/4*VLOOKUP(AH13,Data!$B$32:$AH$57,($C$58-1),FALSE),AH16/4*VLOOKUP(AH13,Data!$B$6:$AH$86,($C$58-1),FALSE))))))*(1-$I$9)</f>
        <v>0</v>
      </c>
      <c r="AI20" s="159"/>
      <c r="AJ20" s="160"/>
      <c r="AK20" s="15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row>
    <row r="21" spans="2:37" s="128" customFormat="1" ht="13.5" thickBot="1">
      <c r="B21" s="128" t="s">
        <v>149</v>
      </c>
      <c r="C21" s="127" t="s">
        <v>145</v>
      </c>
      <c r="D21" s="33"/>
      <c r="E21" s="172">
        <f>SUM(E18:E20)</f>
        <v>2.96</v>
      </c>
      <c r="F21" s="172">
        <f aca="true" t="shared" si="4" ref="F21:AH21">SUM(F18:F20)</f>
        <v>4</v>
      </c>
      <c r="G21" s="172">
        <f t="shared" si="4"/>
        <v>2.2800000000000002</v>
      </c>
      <c r="H21" s="172">
        <f t="shared" si="4"/>
        <v>3</v>
      </c>
      <c r="I21" s="172">
        <f t="shared" si="4"/>
        <v>4.239999999999999</v>
      </c>
      <c r="J21" s="172">
        <f t="shared" si="4"/>
        <v>4</v>
      </c>
      <c r="K21" s="172">
        <f t="shared" si="4"/>
        <v>4.279999999999999</v>
      </c>
      <c r="L21" s="172">
        <f t="shared" si="4"/>
        <v>3.88</v>
      </c>
      <c r="M21" s="172">
        <f t="shared" si="4"/>
        <v>3</v>
      </c>
      <c r="N21" s="172">
        <f t="shared" si="4"/>
        <v>6</v>
      </c>
      <c r="O21" s="172">
        <f t="shared" si="4"/>
        <v>3.56</v>
      </c>
      <c r="P21" s="172">
        <f t="shared" si="4"/>
        <v>4.64</v>
      </c>
      <c r="Q21" s="172">
        <f t="shared" si="4"/>
        <v>3.96</v>
      </c>
      <c r="R21" s="172">
        <f t="shared" si="4"/>
        <v>0</v>
      </c>
      <c r="S21" s="172">
        <f t="shared" si="4"/>
        <v>0</v>
      </c>
      <c r="T21" s="172">
        <f t="shared" si="4"/>
        <v>0</v>
      </c>
      <c r="U21" s="172">
        <f t="shared" si="4"/>
        <v>0</v>
      </c>
      <c r="V21" s="172">
        <f t="shared" si="4"/>
        <v>0</v>
      </c>
      <c r="W21" s="172">
        <f t="shared" si="4"/>
        <v>0</v>
      </c>
      <c r="X21" s="172">
        <f t="shared" si="4"/>
        <v>0</v>
      </c>
      <c r="Y21" s="172">
        <f t="shared" si="4"/>
        <v>0</v>
      </c>
      <c r="Z21" s="172">
        <f t="shared" si="4"/>
        <v>0</v>
      </c>
      <c r="AA21" s="172">
        <f t="shared" si="4"/>
        <v>0</v>
      </c>
      <c r="AB21" s="172">
        <f t="shared" si="4"/>
        <v>0</v>
      </c>
      <c r="AC21" s="172">
        <f t="shared" si="4"/>
        <v>0</v>
      </c>
      <c r="AD21" s="172">
        <f t="shared" si="4"/>
        <v>0</v>
      </c>
      <c r="AE21" s="172">
        <f t="shared" si="4"/>
        <v>0</v>
      </c>
      <c r="AF21" s="172">
        <f t="shared" si="4"/>
        <v>0</v>
      </c>
      <c r="AG21" s="172">
        <f t="shared" si="4"/>
        <v>0</v>
      </c>
      <c r="AH21" s="172">
        <f t="shared" si="4"/>
        <v>0</v>
      </c>
      <c r="AI21" s="21"/>
      <c r="AJ21" s="13"/>
      <c r="AK21" s="33"/>
    </row>
    <row r="22" spans="2:38" ht="13.5" thickBot="1">
      <c r="B22" s="43" t="s">
        <v>86</v>
      </c>
      <c r="C22" s="180">
        <f>AK22*AL22</f>
        <v>0</v>
      </c>
      <c r="D22" s="181"/>
      <c r="E22" s="245">
        <f>SUM(E21:AH21)</f>
        <v>49.800000000000004</v>
      </c>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182">
        <f>AK22*AL22</f>
        <v>0</v>
      </c>
      <c r="AJ22" s="11"/>
      <c r="AK22" s="34">
        <f>IF(R$7&gt;0,(R$7-E$22)/2,"")</f>
        <v>5.099999999999998</v>
      </c>
      <c r="AL22">
        <f>IF(AK22=MIN(AK$22,AK$33,AK$44),1,0)</f>
        <v>0</v>
      </c>
    </row>
    <row r="23" spans="2:37" ht="24.75" customHeight="1" thickBo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
    </row>
    <row r="24" spans="2:38" ht="24.75">
      <c r="B24" s="43" t="s">
        <v>76</v>
      </c>
      <c r="C24" s="183"/>
      <c r="D24" s="184"/>
      <c r="E24" s="191" t="str">
        <f>IF(ISNUMBER(VALUE(MID('IO'!$E10,1,1))),VALUE(MID('IO'!$E10,1,1)),MID('IO'!$E10,1,1))</f>
        <v>A</v>
      </c>
      <c r="F24" s="191" t="str">
        <f>IF(ISNUMBER(VALUE(MID('IO'!$E10,2,1))),VALUE(MID('IO'!$E10,2,1)),MID('IO'!$E10,2,1))</f>
        <v>n</v>
      </c>
      <c r="G24" s="191" t="str">
        <f>IF(ISNUMBER(VALUE(MID('IO'!$E10,3,1))),VALUE(MID('IO'!$E10,3,1)),MID('IO'!$E10,3,1))</f>
        <v>c</v>
      </c>
      <c r="H24" s="191" t="str">
        <f>IF(ISNUMBER(VALUE(MID('IO'!$E10,4,1))),VALUE(MID('IO'!$E10,4,1)),MID('IO'!$E10,4,1))</f>
        <v>h</v>
      </c>
      <c r="I24" s="191" t="str">
        <f>IF(ISNUMBER(VALUE(MID('IO'!$E10,5,1))),VALUE(MID('IO'!$E10,5,1)),MID('IO'!$E10,5,1))</f>
        <v>o</v>
      </c>
      <c r="J24" s="191" t="str">
        <f>IF(ISNUMBER(VALUE(MID('IO'!$E10,6,1))),VALUE(MID('IO'!$E10,6,1)),MID('IO'!$E10,6,1))</f>
        <v>r</v>
      </c>
      <c r="K24" s="191" t="str">
        <f>IF(ISNUMBER(VALUE(MID('IO'!$E10,7,1))),VALUE(MID('IO'!$E10,7,1)),MID('IO'!$E10,7,1))</f>
        <v>a</v>
      </c>
      <c r="L24" s="191" t="str">
        <f>IF(ISNUMBER(VALUE(MID('IO'!$E10,8,1))),VALUE(MID('IO'!$E10,8,1)),MID('IO'!$E10,8,1))</f>
        <v>g</v>
      </c>
      <c r="M24" s="191" t="str">
        <f>IF(ISNUMBER(VALUE(MID('IO'!$E10,9,1))),VALUE(MID('IO'!$E10,9,1)),MID('IO'!$E10,9,1))</f>
        <v>e</v>
      </c>
      <c r="N24" s="191" t="str">
        <f>IF(ISNUMBER(VALUE(MID('IO'!$E10,10,1))),VALUE(MID('IO'!$E10,10,1)),MID('IO'!$E10,10,1))</f>
        <v> </v>
      </c>
      <c r="O24" s="191">
        <f>IF(ISNUMBER(VALUE(MID('IO'!$E10,11,1))),VALUE(MID('IO'!$E10,11,1)),MID('IO'!$E10,11,1))</f>
        <v>7</v>
      </c>
      <c r="P24" s="191">
        <f>IF(ISNUMBER(VALUE(MID('IO'!$E10,12,1))),VALUE(MID('IO'!$E10,12,1)),MID('IO'!$E10,12,1))</f>
        <v>8</v>
      </c>
      <c r="Q24" s="191">
        <f>IF(ISNUMBER(VALUE(MID('IO'!$E10,13,1))),VALUE(MID('IO'!$E10,13,1)),MID('IO'!$E10,13,1))</f>
        <v>5</v>
      </c>
      <c r="R24" s="191">
        <f>IF(ISNUMBER(VALUE(MID('IO'!$E10,14,1))),VALUE(MID('IO'!$E10,14,1)),MID('IO'!$E10,14,1))</f>
      </c>
      <c r="S24" s="191">
        <f>IF(ISNUMBER(VALUE(MID('IO'!$E10,15,1))),VALUE(MID('IO'!$E10,15,1)),MID('IO'!$E10,15,1))</f>
      </c>
      <c r="T24" s="191">
        <f>IF(ISNUMBER(VALUE(MID('IO'!$E10,16,1))),VALUE(MID('IO'!$E10,16,1)),MID('IO'!$E10,16,1))</f>
      </c>
      <c r="U24" s="191">
        <f>IF(ISNUMBER(VALUE(MID('IO'!$E10,17,1))),VALUE(MID('IO'!$E10,17,1)),MID('IO'!$E10,17,1))</f>
      </c>
      <c r="V24" s="191">
        <f>IF(ISNUMBER(VALUE(MID('IO'!$E10,18,1))),VALUE(MID('IO'!$E10,18,1)),MID('IO'!$E10,18,1))</f>
      </c>
      <c r="W24" s="191">
        <f>IF(ISNUMBER(VALUE(MID('IO'!$E10,19,1))),VALUE(MID('IO'!$E10,19,1)),MID('IO'!$E10,19,1))</f>
      </c>
      <c r="X24" s="191">
        <f>IF(ISNUMBER(VALUE(MID('IO'!$E10,20,1))),VALUE(MID('IO'!$E10,20,1)),MID('IO'!$E10,20,1))</f>
      </c>
      <c r="Y24" s="191">
        <f>IF(ISNUMBER(VALUE(MID('IO'!$E10,21,1))),VALUE(MID('IO'!$E10,21,1)),MID('IO'!$E10,21,1))</f>
      </c>
      <c r="Z24" s="191">
        <f>IF(ISNUMBER(VALUE(MID('IO'!$E10,22,1))),VALUE(MID('IO'!$E10,22,1)),MID('IO'!$E10,22,1))</f>
      </c>
      <c r="AA24" s="191">
        <f>IF(ISNUMBER(VALUE(MID('IO'!$E10,23,1))),VALUE(MID('IO'!$E10,23,1)),MID('IO'!$E10,23,1))</f>
      </c>
      <c r="AB24" s="191">
        <f>IF(ISNUMBER(VALUE(MID('IO'!$E10,24,1))),VALUE(MID('IO'!$E10,24,1)),MID('IO'!$E10,24,1))</f>
      </c>
      <c r="AC24" s="191">
        <f>IF(ISNUMBER(VALUE(MID('IO'!$E10,25,1))),VALUE(MID('IO'!$E10,25,1)),MID('IO'!$E10,25,1))</f>
      </c>
      <c r="AD24" s="191">
        <f>IF(ISNUMBER(VALUE(MID('IO'!$E10,26,1))),VALUE(MID('IO'!$E10,26,1)),MID('IO'!$E10,26,1))</f>
      </c>
      <c r="AE24" s="191">
        <f>IF(ISNUMBER(VALUE(MID('IO'!$E10,27,1))),VALUE(MID('IO'!$E10,27,1)),MID('IO'!$E10,27,1))</f>
      </c>
      <c r="AF24" s="191">
        <f>IF(ISNUMBER(VALUE(MID('IO'!$E10,28,1))),VALUE(MID('IO'!$E10,28,1)),MID('IO'!$E10,28,1))</f>
      </c>
      <c r="AG24" s="191">
        <f>IF(ISNUMBER(VALUE(MID('IO'!$E10,29,1))),VALUE(MID('IO'!$E10,29,1)),MID('IO'!$E10,29,1))</f>
      </c>
      <c r="AH24" s="191">
        <f>IF(ISNUMBER(VALUE(MID('IO'!$E10,30,1))),VALUE(MID('IO'!$E10,30,1)),MID('IO'!$E10,30,1))</f>
      </c>
      <c r="AI24" s="185"/>
      <c r="AJ24" s="10"/>
      <c r="AK24" s="37"/>
      <c r="AL24" s="9"/>
    </row>
    <row r="25" spans="2:70" s="128" customFormat="1" ht="11.25">
      <c r="B25" s="128" t="s">
        <v>130</v>
      </c>
      <c r="C25" s="157"/>
      <c r="D25" s="158"/>
      <c r="E25" s="158" t="str">
        <f aca="true" t="shared" si="5" ref="E25:AH25">IF(E24="","",IF(ISNUMBER(FIND(E24,"abcdefghijklmnopqrstuvwxyz",1)),"L",IF(ISNUMBER(FIND(E24,"ABCDEFGHIJKLMNOPQRSTUVWXYZ",1)),"U","")))</f>
        <v>U</v>
      </c>
      <c r="F25" s="158" t="str">
        <f t="shared" si="5"/>
        <v>L</v>
      </c>
      <c r="G25" s="158" t="str">
        <f t="shared" si="5"/>
        <v>L</v>
      </c>
      <c r="H25" s="158" t="str">
        <f t="shared" si="5"/>
        <v>L</v>
      </c>
      <c r="I25" s="158" t="str">
        <f t="shared" si="5"/>
        <v>L</v>
      </c>
      <c r="J25" s="158" t="str">
        <f t="shared" si="5"/>
        <v>L</v>
      </c>
      <c r="K25" s="158" t="str">
        <f t="shared" si="5"/>
        <v>L</v>
      </c>
      <c r="L25" s="158" t="str">
        <f t="shared" si="5"/>
        <v>L</v>
      </c>
      <c r="M25" s="158" t="str">
        <f t="shared" si="5"/>
        <v>L</v>
      </c>
      <c r="N25" s="158">
        <f t="shared" si="5"/>
      </c>
      <c r="O25" s="158">
        <f t="shared" si="5"/>
      </c>
      <c r="P25" s="158">
        <f t="shared" si="5"/>
      </c>
      <c r="Q25" s="158">
        <f t="shared" si="5"/>
      </c>
      <c r="R25" s="158">
        <f t="shared" si="5"/>
      </c>
      <c r="S25" s="158">
        <f t="shared" si="5"/>
      </c>
      <c r="T25" s="158">
        <f t="shared" si="5"/>
      </c>
      <c r="U25" s="158">
        <f t="shared" si="5"/>
      </c>
      <c r="V25" s="158">
        <f t="shared" si="5"/>
      </c>
      <c r="W25" s="158">
        <f t="shared" si="5"/>
      </c>
      <c r="X25" s="158">
        <f t="shared" si="5"/>
      </c>
      <c r="Y25" s="158">
        <f t="shared" si="5"/>
      </c>
      <c r="Z25" s="158">
        <f t="shared" si="5"/>
      </c>
      <c r="AA25" s="158">
        <f t="shared" si="5"/>
      </c>
      <c r="AB25" s="158">
        <f t="shared" si="5"/>
      </c>
      <c r="AC25" s="158">
        <f t="shared" si="5"/>
      </c>
      <c r="AD25" s="158">
        <f t="shared" si="5"/>
      </c>
      <c r="AE25" s="158">
        <f t="shared" si="5"/>
      </c>
      <c r="AF25" s="158">
        <f t="shared" si="5"/>
      </c>
      <c r="AG25" s="158">
        <f t="shared" si="5"/>
      </c>
      <c r="AH25" s="158">
        <f t="shared" si="5"/>
      </c>
      <c r="AI25" s="161"/>
      <c r="AJ25" s="160"/>
      <c r="AK25" s="162"/>
      <c r="AN25" s="163"/>
      <c r="AO25" s="163"/>
      <c r="AP25" s="163"/>
      <c r="AQ25" s="163"/>
      <c r="BR25" s="207"/>
    </row>
    <row r="26" spans="2:43" s="128" customFormat="1" ht="11.25">
      <c r="B26" s="128" t="s">
        <v>125</v>
      </c>
      <c r="C26" s="157"/>
      <c r="D26" s="158"/>
      <c r="E26" s="158">
        <f>IF(ISNUMBER(E24),"N",IF(E24=" ","S",IF(OR(E24="&lt;",E24="&gt;",E24="^"),"A","")))</f>
      </c>
      <c r="F26" s="158">
        <f aca="true" t="shared" si="6" ref="F26:AH26">IF(ISNUMBER(F24),"N",IF(F24=" ","S",IF(OR(F24="&lt;",F24="&gt;",F24="^"),"A","")))</f>
      </c>
      <c r="G26" s="158">
        <f t="shared" si="6"/>
      </c>
      <c r="H26" s="158">
        <f t="shared" si="6"/>
      </c>
      <c r="I26" s="158">
        <f t="shared" si="6"/>
      </c>
      <c r="J26" s="158">
        <f t="shared" si="6"/>
      </c>
      <c r="K26" s="158">
        <f t="shared" si="6"/>
      </c>
      <c r="L26" s="158">
        <f t="shared" si="6"/>
      </c>
      <c r="M26" s="158">
        <f t="shared" si="6"/>
      </c>
      <c r="N26" s="158" t="str">
        <f t="shared" si="6"/>
        <v>S</v>
      </c>
      <c r="O26" s="158" t="str">
        <f t="shared" si="6"/>
        <v>N</v>
      </c>
      <c r="P26" s="158" t="str">
        <f t="shared" si="6"/>
        <v>N</v>
      </c>
      <c r="Q26" s="158" t="str">
        <f t="shared" si="6"/>
        <v>N</v>
      </c>
      <c r="R26" s="158">
        <f t="shared" si="6"/>
      </c>
      <c r="S26" s="158">
        <f t="shared" si="6"/>
      </c>
      <c r="T26" s="158">
        <f t="shared" si="6"/>
      </c>
      <c r="U26" s="158">
        <f t="shared" si="6"/>
      </c>
      <c r="V26" s="158">
        <f t="shared" si="6"/>
      </c>
      <c r="W26" s="158">
        <f t="shared" si="6"/>
      </c>
      <c r="X26" s="158">
        <f t="shared" si="6"/>
      </c>
      <c r="Y26" s="158">
        <f t="shared" si="6"/>
      </c>
      <c r="Z26" s="158">
        <f t="shared" si="6"/>
      </c>
      <c r="AA26" s="158">
        <f t="shared" si="6"/>
      </c>
      <c r="AB26" s="158">
        <f t="shared" si="6"/>
      </c>
      <c r="AC26" s="158">
        <f t="shared" si="6"/>
      </c>
      <c r="AD26" s="158">
        <f t="shared" si="6"/>
      </c>
      <c r="AE26" s="158">
        <f t="shared" si="6"/>
      </c>
      <c r="AF26" s="158">
        <f t="shared" si="6"/>
      </c>
      <c r="AG26" s="158">
        <f t="shared" si="6"/>
      </c>
      <c r="AH26" s="158">
        <f t="shared" si="6"/>
      </c>
      <c r="AI26" s="161"/>
      <c r="AJ26" s="160"/>
      <c r="AK26" s="162"/>
      <c r="AN26" s="163"/>
      <c r="AO26" s="163"/>
      <c r="AP26" s="163"/>
      <c r="AQ26" s="163"/>
    </row>
    <row r="27" spans="2:43" s="128" customFormat="1" ht="11.25">
      <c r="B27" s="128" t="s">
        <v>126</v>
      </c>
      <c r="C27" s="157"/>
      <c r="D27" s="158"/>
      <c r="E27" s="164">
        <f aca="true" t="shared" si="7" ref="E27:AH27">IF(E24="","",$I$4)</f>
        <v>4</v>
      </c>
      <c r="F27" s="164">
        <f t="shared" si="7"/>
        <v>4</v>
      </c>
      <c r="G27" s="164">
        <f t="shared" si="7"/>
        <v>4</v>
      </c>
      <c r="H27" s="164">
        <f t="shared" si="7"/>
        <v>4</v>
      </c>
      <c r="I27" s="164">
        <f t="shared" si="7"/>
        <v>4</v>
      </c>
      <c r="J27" s="164">
        <f t="shared" si="7"/>
        <v>4</v>
      </c>
      <c r="K27" s="164">
        <f t="shared" si="7"/>
        <v>4</v>
      </c>
      <c r="L27" s="164">
        <f t="shared" si="7"/>
        <v>4</v>
      </c>
      <c r="M27" s="164">
        <f t="shared" si="7"/>
        <v>4</v>
      </c>
      <c r="N27" s="164">
        <f t="shared" si="7"/>
        <v>4</v>
      </c>
      <c r="O27" s="164">
        <f t="shared" si="7"/>
        <v>4</v>
      </c>
      <c r="P27" s="164">
        <f t="shared" si="7"/>
        <v>4</v>
      </c>
      <c r="Q27" s="164">
        <f t="shared" si="7"/>
        <v>4</v>
      </c>
      <c r="R27" s="164">
        <f t="shared" si="7"/>
      </c>
      <c r="S27" s="164">
        <f t="shared" si="7"/>
      </c>
      <c r="T27" s="164">
        <f t="shared" si="7"/>
      </c>
      <c r="U27" s="164">
        <f t="shared" si="7"/>
      </c>
      <c r="V27" s="164">
        <f t="shared" si="7"/>
      </c>
      <c r="W27" s="164">
        <f t="shared" si="7"/>
      </c>
      <c r="X27" s="164">
        <f t="shared" si="7"/>
      </c>
      <c r="Y27" s="164">
        <f t="shared" si="7"/>
      </c>
      <c r="Z27" s="164">
        <f t="shared" si="7"/>
      </c>
      <c r="AA27" s="164">
        <f t="shared" si="7"/>
      </c>
      <c r="AB27" s="164">
        <f t="shared" si="7"/>
      </c>
      <c r="AC27" s="164">
        <f t="shared" si="7"/>
      </c>
      <c r="AD27" s="164">
        <f t="shared" si="7"/>
      </c>
      <c r="AE27" s="164">
        <f t="shared" si="7"/>
      </c>
      <c r="AF27" s="164">
        <f t="shared" si="7"/>
      </c>
      <c r="AG27" s="164">
        <f t="shared" si="7"/>
      </c>
      <c r="AH27" s="164">
        <f t="shared" si="7"/>
      </c>
      <c r="AI27" s="161"/>
      <c r="AJ27" s="160"/>
      <c r="AK27" s="162"/>
      <c r="AN27" s="163"/>
      <c r="AO27" s="163"/>
      <c r="AP27" s="163"/>
      <c r="AQ27" s="163"/>
    </row>
    <row r="28" spans="2:37" s="128" customFormat="1" ht="11.25">
      <c r="B28" s="128" t="s">
        <v>122</v>
      </c>
      <c r="C28" s="157"/>
      <c r="D28" s="158"/>
      <c r="E28" s="158">
        <v>0</v>
      </c>
      <c r="F28" s="158">
        <f aca="true" t="shared" si="8" ref="F28:AH28">IF(F26="S",IF(OR(AND(ISTEXT(E24),G26="N"),AND(E26="N",ISTEXT(G24))),$I$7,$I$6),0)</f>
        <v>0</v>
      </c>
      <c r="G28" s="158">
        <f t="shared" si="8"/>
        <v>0</v>
      </c>
      <c r="H28" s="158">
        <f t="shared" si="8"/>
        <v>0</v>
      </c>
      <c r="I28" s="158">
        <f t="shared" si="8"/>
        <v>0</v>
      </c>
      <c r="J28" s="158">
        <f t="shared" si="8"/>
        <v>0</v>
      </c>
      <c r="K28" s="158">
        <f t="shared" si="8"/>
        <v>0</v>
      </c>
      <c r="L28" s="158">
        <f t="shared" si="8"/>
        <v>0</v>
      </c>
      <c r="M28" s="158">
        <f t="shared" si="8"/>
        <v>0</v>
      </c>
      <c r="N28" s="158">
        <f t="shared" si="8"/>
        <v>1.5</v>
      </c>
      <c r="O28" s="158">
        <f t="shared" si="8"/>
        <v>0</v>
      </c>
      <c r="P28" s="158">
        <f t="shared" si="8"/>
        <v>0</v>
      </c>
      <c r="Q28" s="158">
        <f t="shared" si="8"/>
        <v>0</v>
      </c>
      <c r="R28" s="158">
        <f t="shared" si="8"/>
        <v>0</v>
      </c>
      <c r="S28" s="158">
        <f t="shared" si="8"/>
        <v>0</v>
      </c>
      <c r="T28" s="158">
        <f t="shared" si="8"/>
        <v>0</v>
      </c>
      <c r="U28" s="158">
        <f t="shared" si="8"/>
        <v>0</v>
      </c>
      <c r="V28" s="158">
        <f t="shared" si="8"/>
        <v>0</v>
      </c>
      <c r="W28" s="158">
        <f t="shared" si="8"/>
        <v>0</v>
      </c>
      <c r="X28" s="158">
        <f t="shared" si="8"/>
        <v>0</v>
      </c>
      <c r="Y28" s="158">
        <f t="shared" si="8"/>
        <v>0</v>
      </c>
      <c r="Z28" s="158">
        <f t="shared" si="8"/>
        <v>0</v>
      </c>
      <c r="AA28" s="158">
        <f t="shared" si="8"/>
        <v>0</v>
      </c>
      <c r="AB28" s="158">
        <f t="shared" si="8"/>
        <v>0</v>
      </c>
      <c r="AC28" s="158">
        <f t="shared" si="8"/>
        <v>0</v>
      </c>
      <c r="AD28" s="158">
        <f t="shared" si="8"/>
        <v>0</v>
      </c>
      <c r="AE28" s="158">
        <f t="shared" si="8"/>
        <v>0</v>
      </c>
      <c r="AF28" s="158">
        <f t="shared" si="8"/>
        <v>0</v>
      </c>
      <c r="AG28" s="158">
        <f t="shared" si="8"/>
        <v>0</v>
      </c>
      <c r="AH28" s="158">
        <f t="shared" si="8"/>
        <v>0</v>
      </c>
      <c r="AI28" s="159"/>
      <c r="AJ28" s="160"/>
      <c r="AK28" s="158"/>
    </row>
    <row r="29" spans="2:37" s="128" customFormat="1" ht="12.75">
      <c r="B29" s="128" t="s">
        <v>141</v>
      </c>
      <c r="C29" s="201" t="s">
        <v>146</v>
      </c>
      <c r="D29" s="158"/>
      <c r="E29" s="173">
        <v>0</v>
      </c>
      <c r="F29" s="174">
        <f>IF(F26="A",0,IF(F24="",0,IF(OR(F26="S",E26="S"),0,IF(F25="L",F27/4*VLOOKUP(F24,Data!$B$32:$AH$57,$C$58-3,FALSE),F27/4*VLOOKUP(F24,Data!$B$6:$AH$86,$C$58-3,FALSE)))))*(1-$I$9)</f>
        <v>0.76</v>
      </c>
      <c r="G29" s="174">
        <f>IF(G26="A",0,IF(G24="",0,IF(OR(G26="S",F26="S"),0,IF(G25="L",G27/4*VLOOKUP(G24,Data!$B$32:$AH$57,$C$58-3,FALSE),G27/4*VLOOKUP(G24,Data!$B$6:$AH$86,$C$58-3,FALSE)))))*(1-$I$9)</f>
        <v>0.6</v>
      </c>
      <c r="H29" s="174">
        <f>IF(H26="A",0,IF(H24="",0,IF(OR(H26="S",G26="S"),0,IF(H25="L",H27/4*VLOOKUP(H24,Data!$B$32:$AH$57,$C$58-3,FALSE),H27/4*VLOOKUP(H24,Data!$B$6:$AH$86,$C$58-3,FALSE)))))*(1-$I$9)</f>
        <v>0.76</v>
      </c>
      <c r="I29" s="174">
        <f>IF(I26="A",0,IF(I24="",0,IF(OR(I26="S",H26="S"),0,IF(I25="L",I27/4*VLOOKUP(I24,Data!$B$32:$AH$57,$C$58-3,FALSE),I27/4*VLOOKUP(I24,Data!$B$6:$AH$86,$C$58-3,FALSE)))))*(1-$I$9)</f>
        <v>0.6</v>
      </c>
      <c r="J29" s="174">
        <f>IF(J26="A",0,IF(J24="",0,IF(OR(J26="S",I26="S"),0,IF(J25="L",J27/4*VLOOKUP(J24,Data!$B$32:$AH$57,$C$58-3,FALSE),J27/4*VLOOKUP(J24,Data!$B$6:$AH$86,$C$58-3,FALSE)))))*(1-$I$9)</f>
        <v>0.76</v>
      </c>
      <c r="K29" s="174">
        <f>IF(K26="A",0,IF(K24="",0,IF(OR(K26="S",J26="S"),0,IF(K25="L",K27/4*VLOOKUP(K24,Data!$B$32:$AH$57,$C$58-3,FALSE),K27/4*VLOOKUP(K24,Data!$B$6:$AH$86,$C$58-3,FALSE)))))*(1-$I$9)</f>
        <v>0.52</v>
      </c>
      <c r="L29" s="174">
        <f>IF(L26="A",0,IF(L24="",0,IF(OR(L26="S",K26="S"),0,IF(L25="L",L27/4*VLOOKUP(L24,Data!$B$32:$AH$57,$C$58-3,FALSE),L27/4*VLOOKUP(L24,Data!$B$6:$AH$86,$C$58-3,FALSE)))))*(1-$I$9)</f>
        <v>0.6</v>
      </c>
      <c r="M29" s="174">
        <f>IF(M26="A",0,IF(M24="",0,IF(OR(M26="S",L26="S"),0,IF(M25="L",M27/4*VLOOKUP(M24,Data!$B$32:$AH$57,$C$58-3,FALSE),M27/4*VLOOKUP(M24,Data!$B$6:$AH$86,$C$58-3,FALSE)))))*(1-$I$9)</f>
        <v>0.6</v>
      </c>
      <c r="N29" s="174">
        <f>IF(N26="A",0,IF(N24="",0,IF(OR(N26="S",M26="S"),0,IF(N25="L",N27/4*VLOOKUP(N24,Data!$B$32:$AH$57,$C$58-3,FALSE),N27/4*VLOOKUP(N24,Data!$B$6:$AH$86,$C$58-3,FALSE)))))*(1-$I$9)</f>
        <v>0</v>
      </c>
      <c r="O29" s="174">
        <f>IF(O26="A",0,IF(O24="",0,IF(OR(O26="S",N26="S"),0,IF(O25="L",O27/4*VLOOKUP(O24,Data!$B$32:$AH$57,$C$58-3,FALSE),O27/4*VLOOKUP(O24,Data!$B$6:$AH$86,$C$58-3,FALSE)))))*(1-$I$9)</f>
        <v>0</v>
      </c>
      <c r="P29" s="174">
        <f>IF(P26="A",0,IF(P24="",0,IF(OR(P26="S",O26="S"),0,IF(P25="L",P27/4*VLOOKUP(P24,Data!$B$32:$AH$57,$C$58-3,FALSE),P27/4*VLOOKUP(P24,Data!$B$6:$AH$86,$C$58-3,FALSE)))))*(1-$I$9)</f>
        <v>0.64</v>
      </c>
      <c r="Q29" s="174">
        <f>IF(Q26="A",0,IF(Q24="",0,IF(OR(Q26="S",P26="S"),0,IF(Q25="L",Q27/4*VLOOKUP(Q24,Data!$B$32:$AH$57,$C$58-3,FALSE),Q27/4*VLOOKUP(Q24,Data!$B$6:$AH$86,$C$58-3,FALSE)))))*(1-$I$9)</f>
        <v>0.6</v>
      </c>
      <c r="R29" s="174">
        <f>IF(R26="A",0,IF(R24="",0,IF(OR(R26="S",Q26="S"),0,IF(R25="L",R27/4*VLOOKUP(R24,Data!$B$32:$AH$57,$C$58-3,FALSE),R27/4*VLOOKUP(R24,Data!$B$6:$AH$86,$C$58-3,FALSE)))))*(1-$I$9)</f>
        <v>0</v>
      </c>
      <c r="S29" s="174">
        <f>IF(S26="A",0,IF(S24="",0,IF(OR(S26="S",R26="S"),0,IF(S25="L",S27/4*VLOOKUP(S24,Data!$B$32:$AH$57,$C$58-3,FALSE),S27/4*VLOOKUP(S24,Data!$B$6:$AH$86,$C$58-3,FALSE)))))*(1-$I$9)</f>
        <v>0</v>
      </c>
      <c r="T29" s="174">
        <f>IF(T26="A",0,IF(T24="",0,IF(OR(T26="S",S26="S"),0,IF(T25="L",T27/4*VLOOKUP(T24,Data!$B$32:$AH$57,$C$58-3,FALSE),T27/4*VLOOKUP(T24,Data!$B$6:$AH$86,$C$58-3,FALSE)))))*(1-$I$9)</f>
        <v>0</v>
      </c>
      <c r="U29" s="174">
        <f>IF(U26="A",0,IF(U24="",0,IF(OR(U26="S",T26="S"),0,IF(U25="L",U27/4*VLOOKUP(U24,Data!$B$32:$AH$57,$C$58-3,FALSE),U27/4*VLOOKUP(U24,Data!$B$6:$AH$86,$C$58-3,FALSE)))))*(1-$I$9)</f>
        <v>0</v>
      </c>
      <c r="V29" s="174">
        <f>IF(V26="A",0,IF(V24="",0,IF(OR(V26="S",U26="S"),0,IF(V25="L",V27/4*VLOOKUP(V24,Data!$B$32:$AH$57,$C$58-3,FALSE),V27/4*VLOOKUP(V24,Data!$B$6:$AH$86,$C$58-3,FALSE)))))*(1-$I$9)</f>
        <v>0</v>
      </c>
      <c r="W29" s="174">
        <f>IF(W26="A",0,IF(W24="",0,IF(OR(W26="S",V26="S"),0,IF(W25="L",W27/4*VLOOKUP(W24,Data!$B$32:$AH$57,$C$58-3,FALSE),W27/4*VLOOKUP(W24,Data!$B$6:$AH$86,$C$58-3,FALSE)))))*(1-$I$9)</f>
        <v>0</v>
      </c>
      <c r="X29" s="174">
        <f>IF(X26="A",0,IF(X24="",0,IF(OR(X26="S",W26="S"),0,IF(X25="L",X27/4*VLOOKUP(X24,Data!$B$32:$AH$57,$C$58-3,FALSE),X27/4*VLOOKUP(X24,Data!$B$6:$AH$86,$C$58-3,FALSE)))))*(1-$I$9)</f>
        <v>0</v>
      </c>
      <c r="Y29" s="174">
        <f>IF(Y26="A",0,IF(Y24="",0,IF(OR(Y26="S",X26="S"),0,IF(Y25="L",Y27/4*VLOOKUP(Y24,Data!$B$32:$AH$57,$C$58-3,FALSE),Y27/4*VLOOKUP(Y24,Data!$B$6:$AH$86,$C$58-3,FALSE)))))*(1-$I$9)</f>
        <v>0</v>
      </c>
      <c r="Z29" s="174">
        <f>IF(Z26="A",0,IF(Z24="",0,IF(OR(Z26="S",Y26="S"),0,IF(Z25="L",Z27/4*VLOOKUP(Z24,Data!$B$32:$AH$57,$C$58-3,FALSE),Z27/4*VLOOKUP(Z24,Data!$B$6:$AH$86,$C$58-3,FALSE)))))*(1-$I$9)</f>
        <v>0</v>
      </c>
      <c r="AA29" s="174">
        <f>IF(AA26="A",0,IF(AA24="",0,IF(OR(AA26="S",Z26="S"),0,IF(AA25="L",AA27/4*VLOOKUP(AA24,Data!$B$32:$AH$57,$C$58-3,FALSE),AA27/4*VLOOKUP(AA24,Data!$B$6:$AH$86,$C$58-3,FALSE)))))*(1-$I$9)</f>
        <v>0</v>
      </c>
      <c r="AB29" s="174">
        <f>IF(AB26="A",0,IF(AB24="",0,IF(OR(AB26="S",AA26="S"),0,IF(AB25="L",AB27/4*VLOOKUP(AB24,Data!$B$32:$AH$57,$C$58-3,FALSE),AB27/4*VLOOKUP(AB24,Data!$B$6:$AH$86,$C$58-3,FALSE)))))*(1-$I$9)</f>
        <v>0</v>
      </c>
      <c r="AC29" s="174">
        <f>IF(AC26="A",0,IF(AC24="",0,IF(OR(AC26="S",AB26="S"),0,IF(AC25="L",AC27/4*VLOOKUP(AC24,Data!$B$32:$AH$57,$C$58-3,FALSE),AC27/4*VLOOKUP(AC24,Data!$B$6:$AH$86,$C$58-3,FALSE)))))*(1-$I$9)</f>
        <v>0</v>
      </c>
      <c r="AD29" s="174">
        <f>IF(AD26="A",0,IF(AD24="",0,IF(OR(AD26="S",AC26="S"),0,IF(AD25="L",AD27/4*VLOOKUP(AD24,Data!$B$32:$AH$57,$C$58-3,FALSE),AD27/4*VLOOKUP(AD24,Data!$B$6:$AH$86,$C$58-3,FALSE)))))*(1-$I$9)</f>
        <v>0</v>
      </c>
      <c r="AE29" s="174">
        <f>IF(AE26="A",0,IF(AE24="",0,IF(OR(AE26="S",AD26="S"),0,IF(AE25="L",AE27/4*VLOOKUP(AE24,Data!$B$32:$AH$57,$C$58-3,FALSE),AE27/4*VLOOKUP(AE24,Data!$B$6:$AH$86,$C$58-3,FALSE)))))*(1-$I$9)</f>
        <v>0</v>
      </c>
      <c r="AF29" s="174">
        <f>IF(AF26="A",0,IF(AF24="",0,IF(OR(AF26="S",AE26="S"),0,IF(AF25="L",AF27/4*VLOOKUP(AF24,Data!$B$32:$AH$57,$C$58-3,FALSE),AF27/4*VLOOKUP(AF24,Data!$B$6:$AH$86,$C$58-3,FALSE)))))*(1-$I$9)</f>
        <v>0</v>
      </c>
      <c r="AG29" s="174">
        <f>IF(AG26="A",0,IF(AG24="",0,IF(OR(AG26="S",AF26="S"),0,IF(AG25="L",AG27/4*VLOOKUP(AG24,Data!$B$32:$AH$57,$C$58-3,FALSE),AG27/4*VLOOKUP(AG24,Data!$B$6:$AH$86,$C$58-3,FALSE)))))*(1-$I$9)</f>
        <v>0</v>
      </c>
      <c r="AH29" s="175">
        <f>IF(AH26="A",0,IF(AH24="",0,IF(OR(AH26="S",AG26="S"),0,IF(AH25="L",AH27/4*VLOOKUP(AH24,Data!$B$32:$AH$57,$C$58-3,FALSE),AH27/4*VLOOKUP(AH24,Data!$B$6:$AH$86,$C$58-3,FALSE)))))*(1-$I$9)</f>
        <v>0</v>
      </c>
      <c r="AI29" s="159"/>
      <c r="AJ29" s="160"/>
      <c r="AK29" s="158"/>
    </row>
    <row r="30" spans="2:37" s="128" customFormat="1" ht="12.75">
      <c r="B30" s="128" t="s">
        <v>142</v>
      </c>
      <c r="C30" s="201" t="s">
        <v>147</v>
      </c>
      <c r="D30" s="158"/>
      <c r="E30" s="176">
        <f>IF(E26="A",$R$5,IF(E24="",0,IF(E26="S",E27*E28*(1-$I$8),IF(E25="L",E27/4*VLOOKUP(E24,Data!$B$32:$AH$57,$C$58-2,FALSE),E27/4*VLOOKUP(E24,Data!$B$6:$AH$86,$C$58-2,FALSE)))))</f>
        <v>3.76</v>
      </c>
      <c r="F30" s="171">
        <f>IF(F26="A",$R$5,IF(F24="",0,IF(F26="S",F27*F28*(1-$I$8),IF(F25="L",F27/4*VLOOKUP(F24,Data!$B$32:$AH$57,$C$58-2,FALSE),F27/4*VLOOKUP(F24,Data!$B$6:$AH$86,$C$58-2,FALSE)))))</f>
        <v>2.76</v>
      </c>
      <c r="G30" s="171">
        <f>IF(G26="A",$R$5,IF(G24="",0,IF(G26="S",G27*G28*(1-$I$8),IF(G25="L",G27/4*VLOOKUP(G24,Data!$B$32:$AH$57,$C$58-2,FALSE),G27/4*VLOOKUP(G24,Data!$B$6:$AH$86,$C$58-2,FALSE)))))</f>
        <v>2.72</v>
      </c>
      <c r="H30" s="171">
        <f>IF(H26="A",$R$5,IF(H24="",0,IF(H26="S",H27*H28*(1-$I$8),IF(H25="L",H27/4*VLOOKUP(H24,Data!$B$32:$AH$57,$C$58-2,FALSE),H27/4*VLOOKUP(H24,Data!$B$6:$AH$86,$C$58-2,FALSE)))))</f>
        <v>2.76</v>
      </c>
      <c r="I30" s="171">
        <f>IF(I26="A",$R$5,IF(I24="",0,IF(I26="S",I27*I28*(1-$I$8),IF(I25="L",I27/4*VLOOKUP(I24,Data!$B$32:$AH$57,$C$58-2,FALSE),I27/4*VLOOKUP(I24,Data!$B$6:$AH$86,$C$58-2,FALSE)))))</f>
        <v>3.08</v>
      </c>
      <c r="J30" s="171">
        <f>IF(J26="A",$R$5,IF(J24="",0,IF(J26="S",J27*J28*(1-$I$8),IF(J25="L",J27/4*VLOOKUP(J24,Data!$B$32:$AH$57,$C$58-2,FALSE),J27/4*VLOOKUP(J24,Data!$B$6:$AH$86,$C$58-2,FALSE)))))</f>
        <v>1.84</v>
      </c>
      <c r="K30" s="171">
        <f>IF(K26="A",$R$5,IF(K24="",0,IF(K26="S",K27*K28*(1-$I$8),IF(K25="L",K27/4*VLOOKUP(K24,Data!$B$32:$AH$57,$C$58-2,FALSE),K27/4*VLOOKUP(K24,Data!$B$6:$AH$86,$C$58-2,FALSE)))))</f>
        <v>2.96</v>
      </c>
      <c r="L30" s="171">
        <f>IF(L26="A",$R$5,IF(L24="",0,IF(L26="S",L27*L28*(1-$I$8),IF(L25="L",L27/4*VLOOKUP(L24,Data!$B$32:$AH$57,$C$58-2,FALSE),L27/4*VLOOKUP(L24,Data!$B$6:$AH$86,$C$58-2,FALSE)))))</f>
        <v>2.92</v>
      </c>
      <c r="M30" s="171">
        <f>IF(M26="A",$R$5,IF(M24="",0,IF(M26="S",M27*M28*(1-$I$8),IF(M25="L",M27/4*VLOOKUP(M24,Data!$B$32:$AH$57,$C$58-2,FALSE),M27/4*VLOOKUP(M24,Data!$B$6:$AH$86,$C$58-2,FALSE)))))</f>
        <v>2.96</v>
      </c>
      <c r="N30" s="171">
        <f>IF(N26="A",$R$5,IF(N24="",0,IF(N26="S",N27*N28*(1-$I$8),IF(N25="L",N27/4*VLOOKUP(N24,Data!$B$32:$AH$57,$C$58-2,FALSE),N27/4*VLOOKUP(N24,Data!$B$6:$AH$86,$C$58-2,FALSE)))))</f>
        <v>6</v>
      </c>
      <c r="O30" s="171">
        <f>IF(O26="A",$R$5,IF(O24="",0,IF(O26="S",O27*O28*(1-$I$8),IF(O25="L",O27/4*VLOOKUP(O24,Data!$B$32:$AH$57,$C$58-2,FALSE),O27/4*VLOOKUP(O24,Data!$B$6:$AH$86,$C$58-2,FALSE)))))</f>
        <v>2.84</v>
      </c>
      <c r="P30" s="171">
        <f>IF(P26="A",$R$5,IF(P24="",0,IF(P26="S",P27*P28*(1-$I$8),IF(P25="L",P27/4*VLOOKUP(P24,Data!$B$32:$AH$57,$C$58-2,FALSE),P27/4*VLOOKUP(P24,Data!$B$6:$AH$86,$C$58-2,FALSE)))))</f>
        <v>2.92</v>
      </c>
      <c r="Q30" s="171">
        <f>IF(Q26="A",$R$5,IF(Q24="",0,IF(Q26="S",Q27*Q28*(1-$I$8),IF(Q25="L",Q27/4*VLOOKUP(Q24,Data!$B$32:$AH$57,$C$58-2,FALSE),Q27/4*VLOOKUP(Q24,Data!$B$6:$AH$86,$C$58-2,FALSE)))))</f>
        <v>2.76</v>
      </c>
      <c r="R30" s="171">
        <f>IF(R26="A",$R$5,IF(R24="",0,IF(R26="S",R27*R28*(1-$I$8),IF(R25="L",R27/4*VLOOKUP(R24,Data!$B$32:$AH$57,$C$58-2,FALSE),R27/4*VLOOKUP(R24,Data!$B$6:$AH$86,$C$58-2,FALSE)))))</f>
        <v>0</v>
      </c>
      <c r="S30" s="171">
        <f>IF(S26="A",$R$5,IF(S24="",0,IF(S26="S",S27*S28*(1-$I$8),IF(S25="L",S27/4*VLOOKUP(S24,Data!$B$32:$AH$57,$C$58-2,FALSE),S27/4*VLOOKUP(S24,Data!$B$6:$AH$86,$C$58-2,FALSE)))))</f>
        <v>0</v>
      </c>
      <c r="T30" s="171">
        <f>IF(T26="A",$R$5,IF(T24="",0,IF(T26="S",T27*T28*(1-$I$8),IF(T25="L",T27/4*VLOOKUP(T24,Data!$B$32:$AH$57,$C$58-2,FALSE),T27/4*VLOOKUP(T24,Data!$B$6:$AH$86,$C$58-2,FALSE)))))</f>
        <v>0</v>
      </c>
      <c r="U30" s="171">
        <f>IF(U26="A",$R$5,IF(U24="",0,IF(U26="S",U27*U28*(1-$I$8),IF(U25="L",U27/4*VLOOKUP(U24,Data!$B$32:$AH$57,$C$58-2,FALSE),U27/4*VLOOKUP(U24,Data!$B$6:$AH$86,$C$58-2,FALSE)))))</f>
        <v>0</v>
      </c>
      <c r="V30" s="171">
        <f>IF(V26="A",$R$5,IF(V24="",0,IF(V26="S",V27*V28*(1-$I$8),IF(V25="L",V27/4*VLOOKUP(V24,Data!$B$32:$AH$57,$C$58-2,FALSE),V27/4*VLOOKUP(V24,Data!$B$6:$AH$86,$C$58-2,FALSE)))))</f>
        <v>0</v>
      </c>
      <c r="W30" s="171">
        <f>IF(W26="A",$R$5,IF(W24="",0,IF(W26="S",W27*W28*(1-$I$8),IF(W25="L",W27/4*VLOOKUP(W24,Data!$B$32:$AH$57,$C$58-2,FALSE),W27/4*VLOOKUP(W24,Data!$B$6:$AH$86,$C$58-2,FALSE)))))</f>
        <v>0</v>
      </c>
      <c r="X30" s="171">
        <f>IF(X26="A",$R$5,IF(X24="",0,IF(X26="S",X27*X28*(1-$I$8),IF(X25="L",X27/4*VLOOKUP(X24,Data!$B$32:$AH$57,$C$58-2,FALSE),X27/4*VLOOKUP(X24,Data!$B$6:$AH$86,$C$58-2,FALSE)))))</f>
        <v>0</v>
      </c>
      <c r="Y30" s="171">
        <f>IF(Y26="A",$R$5,IF(Y24="",0,IF(Y26="S",Y27*Y28*(1-$I$8),IF(Y25="L",Y27/4*VLOOKUP(Y24,Data!$B$32:$AH$57,$C$58-2,FALSE),Y27/4*VLOOKUP(Y24,Data!$B$6:$AH$86,$C$58-2,FALSE)))))</f>
        <v>0</v>
      </c>
      <c r="Z30" s="171">
        <f>IF(Z26="A",$R$5,IF(Z24="",0,IF(Z26="S",Z27*Z28*(1-$I$8),IF(Z25="L",Z27/4*VLOOKUP(Z24,Data!$B$32:$AH$57,$C$58-2,FALSE),Z27/4*VLOOKUP(Z24,Data!$B$6:$AH$86,$C$58-2,FALSE)))))</f>
        <v>0</v>
      </c>
      <c r="AA30" s="171">
        <f>IF(AA26="A",$R$5,IF(AA24="",0,IF(AA26="S",AA27*AA28*(1-$I$8),IF(AA25="L",AA27/4*VLOOKUP(AA24,Data!$B$32:$AH$57,$C$58-2,FALSE),AA27/4*VLOOKUP(AA24,Data!$B$6:$AH$86,$C$58-2,FALSE)))))</f>
        <v>0</v>
      </c>
      <c r="AB30" s="171">
        <f>IF(AB26="A",$R$5,IF(AB24="",0,IF(AB26="S",AB27*AB28*(1-$I$8),IF(AB25="L",AB27/4*VLOOKUP(AB24,Data!$B$32:$AH$57,$C$58-2,FALSE),AB27/4*VLOOKUP(AB24,Data!$B$6:$AH$86,$C$58-2,FALSE)))))</f>
        <v>0</v>
      </c>
      <c r="AC30" s="171">
        <f>IF(AC26="A",$R$5,IF(AC24="",0,IF(AC26="S",AC27*AC28*(1-$I$8),IF(AC25="L",AC27/4*VLOOKUP(AC24,Data!$B$32:$AH$57,$C$58-2,FALSE),AC27/4*VLOOKUP(AC24,Data!$B$6:$AH$86,$C$58-2,FALSE)))))</f>
        <v>0</v>
      </c>
      <c r="AD30" s="171">
        <f>IF(AD26="A",$R$5,IF(AD24="",0,IF(AD26="S",AD27*AD28*(1-$I$8),IF(AD25="L",AD27/4*VLOOKUP(AD24,Data!$B$32:$AH$57,$C$58-2,FALSE),AD27/4*VLOOKUP(AD24,Data!$B$6:$AH$86,$C$58-2,FALSE)))))</f>
        <v>0</v>
      </c>
      <c r="AE30" s="171">
        <f>IF(AE26="A",$R$5,IF(AE24="",0,IF(AE26="S",AE27*AE28*(1-$I$8),IF(AE25="L",AE27/4*VLOOKUP(AE24,Data!$B$32:$AH$57,$C$58-2,FALSE),AE27/4*VLOOKUP(AE24,Data!$B$6:$AH$86,$C$58-2,FALSE)))))</f>
        <v>0</v>
      </c>
      <c r="AF30" s="171">
        <f>IF(AF26="A",$R$5,IF(AF24="",0,IF(AF26="S",AF27*AF28*(1-$I$8),IF(AF25="L",AF27/4*VLOOKUP(AF24,Data!$B$32:$AH$57,$C$58-2,FALSE),AF27/4*VLOOKUP(AF24,Data!$B$6:$AH$86,$C$58-2,FALSE)))))</f>
        <v>0</v>
      </c>
      <c r="AG30" s="171">
        <f>IF(AG26="A",$R$5,IF(AG24="",0,IF(AG26="S",AG27*AG28*(1-$I$8),IF(AG25="L",AG27/4*VLOOKUP(AG24,Data!$B$32:$AH$57,$C$58-2,FALSE),AG27/4*VLOOKUP(AG24,Data!$B$6:$AH$86,$C$58-2,FALSE)))))</f>
        <v>0</v>
      </c>
      <c r="AH30" s="177">
        <f>IF(AH26="A",$R$5,IF(AH24="",0,IF(AH26="S",AH27*AH28*(1-$I$8),IF(AH25="L",AH27/4*VLOOKUP(AH24,Data!$B$32:$AH$57,$C$58-2,FALSE),AH27/4*VLOOKUP(AH24,Data!$B$6:$AH$86,$C$58-2,FALSE)))))</f>
        <v>0</v>
      </c>
      <c r="AI30" s="159"/>
      <c r="AJ30" s="160"/>
      <c r="AK30" s="158"/>
    </row>
    <row r="31" spans="2:37" s="128" customFormat="1" ht="12.75">
      <c r="B31" s="128" t="s">
        <v>140</v>
      </c>
      <c r="C31" s="201" t="s">
        <v>148</v>
      </c>
      <c r="D31" s="158"/>
      <c r="E31" s="178">
        <f>IF(F24="",0,IF(E26="A",0,IF(OR(E24="",F24=""),0,IF(OR(E26="S",F26="S"),0,IF(E25="L",E27/4*VLOOKUP(E24,Data!$B$32:$AH$57,$C$58-1,FALSE),E27/4*VLOOKUP(E24,Data!$B$6:$AH$86,$C$58-1,FALSE))))))*(1-$I$9)</f>
        <v>0.36</v>
      </c>
      <c r="F31" s="66">
        <f>IF(G24="",0,IF(F26="A",0,IF(OR(F24="",G24=""),0,IF(OR(F26="S",G26="S"),0,IF(F25="L",F27/4*VLOOKUP(F24,Data!$B$32:$AH$57,$C$58-1,FALSE),F27/4*VLOOKUP(F24,Data!$B$6:$AH$86,$C$58-1,FALSE))))))*(1-$I$9)</f>
        <v>0.76</v>
      </c>
      <c r="G31" s="66">
        <f>IF(H24="",0,IF(G26="A",0,IF(OR(G24="",H24=""),0,IF(OR(G26="S",H26="S"),0,IF(G25="L",G27/4*VLOOKUP(G24,Data!$B$32:$AH$57,$C$58-1,FALSE),G27/4*VLOOKUP(G24,Data!$B$6:$AH$86,$C$58-1,FALSE))))))*(1-$I$9)</f>
        <v>0.4</v>
      </c>
      <c r="H31" s="66">
        <f>IF(I24="",0,IF(H26="A",0,IF(OR(H24="",I24=""),0,IF(OR(H26="S",I26="S"),0,IF(H25="L",H27/4*VLOOKUP(H24,Data!$B$32:$AH$57,$C$58-1,FALSE),H27/4*VLOOKUP(H24,Data!$B$6:$AH$86,$C$58-1,FALSE))))))*(1-$I$9)</f>
        <v>0.76</v>
      </c>
      <c r="I31" s="66">
        <f>IF(J24="",0,IF(I26="A",0,IF(OR(I24="",J24=""),0,IF(OR(I26="S",J26="S"),0,IF(I25="L",I27/4*VLOOKUP(I24,Data!$B$32:$AH$57,$C$58-1,FALSE),I27/4*VLOOKUP(I24,Data!$B$6:$AH$86,$C$58-1,FALSE))))))*(1-$I$9)</f>
        <v>0.6</v>
      </c>
      <c r="J31" s="66">
        <f>IF(K24="",0,IF(J26="A",0,IF(OR(J24="",K24=""),0,IF(OR(J26="S",K26="S"),0,IF(J25="L",J27/4*VLOOKUP(J24,Data!$B$32:$AH$57,$C$58-1,FALSE),J27/4*VLOOKUP(J24,Data!$B$6:$AH$86,$C$58-1,FALSE))))))*(1-$I$9)</f>
        <v>0.4</v>
      </c>
      <c r="K31" s="66">
        <f>IF(L24="",0,IF(K26="A",0,IF(OR(K24="",L24=""),0,IF(OR(K26="S",L26="S"),0,IF(K25="L",K27/4*VLOOKUP(K24,Data!$B$32:$AH$57,$C$58-1,FALSE),K27/4*VLOOKUP(K24,Data!$B$6:$AH$86,$C$58-1,FALSE))))))*(1-$I$9)</f>
        <v>0.52</v>
      </c>
      <c r="L31" s="66">
        <f>IF(M24="",0,IF(L26="A",0,IF(OR(L24="",M24=""),0,IF(OR(L26="S",M26="S"),0,IF(L25="L",L27/4*VLOOKUP(L24,Data!$B$32:$AH$57,$C$58-1,FALSE),L27/4*VLOOKUP(L24,Data!$B$6:$AH$86,$C$58-1,FALSE))))))*(1-$I$9)</f>
        <v>0.76</v>
      </c>
      <c r="M31" s="66">
        <f>IF(N24="",0,IF(M26="A",0,IF(OR(M24="",N24=""),0,IF(OR(M26="S",N26="S"),0,IF(M25="L",M27/4*VLOOKUP(M24,Data!$B$32:$AH$57,$C$58-1,FALSE),M27/4*VLOOKUP(M24,Data!$B$6:$AH$86,$C$58-1,FALSE))))))*(1-$I$9)</f>
        <v>0</v>
      </c>
      <c r="N31" s="66">
        <f>IF(O24="",0,IF(N26="A",0,IF(OR(N24="",O24=""),0,IF(OR(N26="S",O26="S"),0,IF(N25="L",N27/4*VLOOKUP(N24,Data!$B$32:$AH$57,$C$58-1,FALSE),N27/4*VLOOKUP(N24,Data!$B$6:$AH$86,$C$58-1,FALSE))))))*(1-$I$9)</f>
        <v>0</v>
      </c>
      <c r="O31" s="66">
        <f>IF(P24="",0,IF(O26="A",0,IF(OR(O24="",P24=""),0,IF(OR(O26="S",P26="S"),0,IF(O25="L",O27/4*VLOOKUP(O24,Data!$B$32:$AH$57,$C$58-1,FALSE),O27/4*VLOOKUP(O24,Data!$B$6:$AH$86,$C$58-1,FALSE))))))*(1-$I$9)</f>
        <v>0.4</v>
      </c>
      <c r="P31" s="66">
        <f>IF(Q24="",0,IF(P26="A",0,IF(OR(P24="",Q24=""),0,IF(OR(P26="S",Q26="S"),0,IF(P25="L",P27/4*VLOOKUP(P24,Data!$B$32:$AH$57,$C$58-1,FALSE),P27/4*VLOOKUP(P24,Data!$B$6:$AH$86,$C$58-1,FALSE))))))*(1-$I$9)</f>
        <v>0.64</v>
      </c>
      <c r="Q31" s="66">
        <f>IF(R24="",0,IF(Q26="A",0,IF(OR(Q24="",R24=""),0,IF(OR(Q26="S",R26="S"),0,IF(Q25="L",Q27/4*VLOOKUP(Q24,Data!$B$32:$AH$57,$C$58-1,FALSE),Q27/4*VLOOKUP(Q24,Data!$B$6:$AH$86,$C$58-1,FALSE))))))*(1-$I$9)</f>
        <v>0</v>
      </c>
      <c r="R31" s="66">
        <f>IF(S24="",0,IF(R26="A",0,IF(OR(R24="",S24=""),0,IF(OR(R26="S",S26="S"),0,IF(R25="L",R27/4*VLOOKUP(R24,Data!$B$32:$AH$57,$C$58-1,FALSE),R27/4*VLOOKUP(R24,Data!$B$6:$AH$86,$C$58-1,FALSE))))))*(1-$I$9)</f>
        <v>0</v>
      </c>
      <c r="S31" s="66">
        <f>IF(T24="",0,IF(S26="A",0,IF(OR(S24="",T24=""),0,IF(OR(S26="S",T26="S"),0,IF(S25="L",S27/4*VLOOKUP(S24,Data!$B$32:$AH$57,$C$58-1,FALSE),S27/4*VLOOKUP(S24,Data!$B$6:$AH$86,$C$58-1,FALSE))))))*(1-$I$9)</f>
        <v>0</v>
      </c>
      <c r="T31" s="66">
        <f>IF(U24="",0,IF(T26="A",0,IF(OR(T24="",U24=""),0,IF(OR(T26="S",U26="S"),0,IF(T25="L",T27/4*VLOOKUP(T24,Data!$B$32:$AH$57,$C$58-1,FALSE),T27/4*VLOOKUP(T24,Data!$B$6:$AH$86,$C$58-1,FALSE))))))*(1-$I$9)</f>
        <v>0</v>
      </c>
      <c r="U31" s="66">
        <f>IF(V24="",0,IF(U26="A",0,IF(OR(U24="",V24=""),0,IF(OR(U26="S",V26="S"),0,IF(U25="L",U27/4*VLOOKUP(U24,Data!$B$32:$AH$57,$C$58-1,FALSE),U27/4*VLOOKUP(U24,Data!$B$6:$AH$86,$C$58-1,FALSE))))))*(1-$I$9)</f>
        <v>0</v>
      </c>
      <c r="V31" s="66">
        <f>IF(W24="",0,IF(V26="A",0,IF(OR(V24="",W24=""),0,IF(OR(V26="S",W26="S"),0,IF(V25="L",V27/4*VLOOKUP(V24,Data!$B$32:$AH$57,$C$58-1,FALSE),V27/4*VLOOKUP(V24,Data!$B$6:$AH$86,$C$58-1,FALSE))))))*(1-$I$9)</f>
        <v>0</v>
      </c>
      <c r="W31" s="66">
        <f>IF(X24="",0,IF(W26="A",0,IF(OR(W24="",X24=""),0,IF(OR(W26="S",X26="S"),0,IF(W25="L",W27/4*VLOOKUP(W24,Data!$B$32:$AH$57,$C$58-1,FALSE),W27/4*VLOOKUP(W24,Data!$B$6:$AH$86,$C$58-1,FALSE))))))*(1-$I$9)</f>
        <v>0</v>
      </c>
      <c r="X31" s="66">
        <f>IF(Y24="",0,IF(X26="A",0,IF(OR(X24="",Y24=""),0,IF(OR(X26="S",Y26="S"),0,IF(X25="L",X27/4*VLOOKUP(X24,Data!$B$32:$AH$57,$C$58-1,FALSE),X27/4*VLOOKUP(X24,Data!$B$6:$AH$86,$C$58-1,FALSE))))))*(1-$I$9)</f>
        <v>0</v>
      </c>
      <c r="Y31" s="66">
        <f>IF(Z24="",0,IF(Y26="A",0,IF(OR(Y24="",Z24=""),0,IF(OR(Y26="S",Z26="S"),0,IF(Y25="L",Y27/4*VLOOKUP(Y24,Data!$B$32:$AH$57,$C$58-1,FALSE),Y27/4*VLOOKUP(Y24,Data!$B$6:$AH$86,$C$58-1,FALSE))))))*(1-$I$9)</f>
        <v>0</v>
      </c>
      <c r="Z31" s="66">
        <f>IF(AA24="",0,IF(Z26="A",0,IF(OR(Z24="",AA24=""),0,IF(OR(Z26="S",AA26="S"),0,IF(Z25="L",Z27/4*VLOOKUP(Z24,Data!$B$32:$AH$57,$C$58-1,FALSE),Z27/4*VLOOKUP(Z24,Data!$B$6:$AH$86,$C$58-1,FALSE))))))*(1-$I$9)</f>
        <v>0</v>
      </c>
      <c r="AA31" s="66">
        <f>IF(AB24="",0,IF(AA26="A",0,IF(OR(AA24="",AB24=""),0,IF(OR(AA26="S",AB26="S"),0,IF(AA25="L",AA27/4*VLOOKUP(AA24,Data!$B$32:$AH$57,$C$58-1,FALSE),AA27/4*VLOOKUP(AA24,Data!$B$6:$AH$86,$C$58-1,FALSE))))))*(1-$I$9)</f>
        <v>0</v>
      </c>
      <c r="AB31" s="66">
        <f>IF(AC24="",0,IF(AB26="A",0,IF(OR(AB24="",AC24=""),0,IF(OR(AB26="S",AC26="S"),0,IF(AB25="L",AB27/4*VLOOKUP(AB24,Data!$B$32:$AH$57,$C$58-1,FALSE),AB27/4*VLOOKUP(AB24,Data!$B$6:$AH$86,$C$58-1,FALSE))))))*(1-$I$9)</f>
        <v>0</v>
      </c>
      <c r="AC31" s="66">
        <f>IF(AD24="",0,IF(AC26="A",0,IF(OR(AC24="",AD24=""),0,IF(OR(AC26="S",AD26="S"),0,IF(AC25="L",AC27/4*VLOOKUP(AC24,Data!$B$32:$AH$57,$C$58-1,FALSE),AC27/4*VLOOKUP(AC24,Data!$B$6:$AH$86,$C$58-1,FALSE))))))*(1-$I$9)</f>
        <v>0</v>
      </c>
      <c r="AD31" s="66">
        <f>IF(AE24="",0,IF(AD26="A",0,IF(OR(AD24="",AE24=""),0,IF(OR(AD26="S",AE26="S"),0,IF(AD25="L",AD27/4*VLOOKUP(AD24,Data!$B$32:$AH$57,$C$58-1,FALSE),AD27/4*VLOOKUP(AD24,Data!$B$6:$AH$86,$C$58-1,FALSE))))))*(1-$I$9)</f>
        <v>0</v>
      </c>
      <c r="AE31" s="66">
        <f>IF(AF24="",0,IF(AE26="A",0,IF(OR(AE24="",AF24=""),0,IF(OR(AE26="S",AF26="S"),0,IF(AE25="L",AE27/4*VLOOKUP(AE24,Data!$B$32:$AH$57,$C$58-1,FALSE),AE27/4*VLOOKUP(AE24,Data!$B$6:$AH$86,$C$58-1,FALSE))))))*(1-$I$9)</f>
        <v>0</v>
      </c>
      <c r="AF31" s="66">
        <f>IF(AG24="",0,IF(AF26="A",0,IF(OR(AF24="",AG24=""),0,IF(OR(AF26="S",AG26="S"),0,IF(AF25="L",AF27/4*VLOOKUP(AF24,Data!$B$32:$AH$57,$C$58-1,FALSE),AF27/4*VLOOKUP(AF24,Data!$B$6:$AH$86,$C$58-1,FALSE))))))*(1-$I$9)</f>
        <v>0</v>
      </c>
      <c r="AG31" s="66">
        <f>IF(AH24="",0,IF(AG26="A",0,IF(OR(AG24="",AH24=""),0,IF(OR(AG26="S",AH26="S"),0,IF(AG25="L",AG27/4*VLOOKUP(AG24,Data!$B$32:$AH$57,$C$58-1,FALSE),AG27/4*VLOOKUP(AG24,Data!$B$6:$AH$86,$C$58-1,FALSE))))))*(1-$I$9)</f>
        <v>0</v>
      </c>
      <c r="AH31" s="179">
        <f>IF(AI24="",0,IF(AH26="A",0,IF(OR(AH24="",AI24=""),0,IF(OR(AH26="S",AI26="S"),0,IF(AH25="L",AH27/4*VLOOKUP(AH24,Data!$B$32:$AH$57,$C$58-1,FALSE),AH27/4*VLOOKUP(AH24,Data!$B$6:$AH$86,$C$58-1,FALSE))))))*(1-$I$9)</f>
        <v>0</v>
      </c>
      <c r="AI31" s="159"/>
      <c r="AJ31" s="160"/>
      <c r="AK31" s="158"/>
    </row>
    <row r="32" spans="2:79" s="128" customFormat="1" ht="13.5" thickBot="1">
      <c r="B32" s="128" t="s">
        <v>149</v>
      </c>
      <c r="C32" s="127" t="s">
        <v>145</v>
      </c>
      <c r="D32" s="33"/>
      <c r="E32" s="172">
        <f aca="true" t="shared" si="9" ref="E32:AH32">SUM(E29:E31)</f>
        <v>4.12</v>
      </c>
      <c r="F32" s="172">
        <f t="shared" si="9"/>
        <v>4.279999999999999</v>
      </c>
      <c r="G32" s="172">
        <f t="shared" si="9"/>
        <v>3.72</v>
      </c>
      <c r="H32" s="172">
        <f t="shared" si="9"/>
        <v>4.279999999999999</v>
      </c>
      <c r="I32" s="172">
        <f t="shared" si="9"/>
        <v>4.28</v>
      </c>
      <c r="J32" s="172">
        <f t="shared" si="9"/>
        <v>3</v>
      </c>
      <c r="K32" s="172">
        <f t="shared" si="9"/>
        <v>4</v>
      </c>
      <c r="L32" s="172">
        <f t="shared" si="9"/>
        <v>4.28</v>
      </c>
      <c r="M32" s="172">
        <f t="shared" si="9"/>
        <v>3.56</v>
      </c>
      <c r="N32" s="172">
        <f t="shared" si="9"/>
        <v>6</v>
      </c>
      <c r="O32" s="172">
        <f t="shared" si="9"/>
        <v>3.2399999999999998</v>
      </c>
      <c r="P32" s="172">
        <f t="shared" si="9"/>
        <v>4.2</v>
      </c>
      <c r="Q32" s="172">
        <f t="shared" si="9"/>
        <v>3.36</v>
      </c>
      <c r="R32" s="172">
        <f t="shared" si="9"/>
        <v>0</v>
      </c>
      <c r="S32" s="172">
        <f t="shared" si="9"/>
        <v>0</v>
      </c>
      <c r="T32" s="172">
        <f t="shared" si="9"/>
        <v>0</v>
      </c>
      <c r="U32" s="172">
        <f t="shared" si="9"/>
        <v>0</v>
      </c>
      <c r="V32" s="172">
        <f t="shared" si="9"/>
        <v>0</v>
      </c>
      <c r="W32" s="172">
        <f t="shared" si="9"/>
        <v>0</v>
      </c>
      <c r="X32" s="172">
        <f t="shared" si="9"/>
        <v>0</v>
      </c>
      <c r="Y32" s="172">
        <f t="shared" si="9"/>
        <v>0</v>
      </c>
      <c r="Z32" s="172">
        <f t="shared" si="9"/>
        <v>0</v>
      </c>
      <c r="AA32" s="172">
        <f t="shared" si="9"/>
        <v>0</v>
      </c>
      <c r="AB32" s="172">
        <f t="shared" si="9"/>
        <v>0</v>
      </c>
      <c r="AC32" s="172">
        <f t="shared" si="9"/>
        <v>0</v>
      </c>
      <c r="AD32" s="172">
        <f t="shared" si="9"/>
        <v>0</v>
      </c>
      <c r="AE32" s="172">
        <f t="shared" si="9"/>
        <v>0</v>
      </c>
      <c r="AF32" s="172">
        <f t="shared" si="9"/>
        <v>0</v>
      </c>
      <c r="AG32" s="172">
        <f t="shared" si="9"/>
        <v>0</v>
      </c>
      <c r="AH32" s="172">
        <f t="shared" si="9"/>
        <v>0</v>
      </c>
      <c r="AI32" s="38"/>
      <c r="AJ32" s="13"/>
      <c r="AK32" s="129"/>
      <c r="AL32" s="43"/>
      <c r="AM32" s="43"/>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row>
    <row r="33" spans="2:39" ht="15.75" thickBot="1">
      <c r="B33" s="43" t="s">
        <v>86</v>
      </c>
      <c r="C33" s="180">
        <f>AK33*AL33</f>
        <v>3.8399999999999963</v>
      </c>
      <c r="D33" s="186"/>
      <c r="E33" s="246">
        <f>SUM(E32:AH32)</f>
        <v>52.32000000000001</v>
      </c>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182">
        <f>AK33*AL33</f>
        <v>3.8399999999999963</v>
      </c>
      <c r="AJ33" s="10"/>
      <c r="AK33" s="34">
        <f>IF(R$7&gt;0,(R$7-E$33)/2,"")</f>
        <v>3.8399999999999963</v>
      </c>
      <c r="AL33">
        <f>IF(AK33=MIN(AK$22,AK$33,AK$44),1,0)</f>
        <v>1</v>
      </c>
      <c r="AM33" s="9"/>
    </row>
    <row r="34" spans="2:39" ht="26.25" customHeight="1" thickBo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9"/>
    </row>
    <row r="35" spans="2:39" ht="24.75">
      <c r="B35" s="43" t="s">
        <v>76</v>
      </c>
      <c r="C35" s="183"/>
      <c r="D35" s="184"/>
      <c r="E35" s="191" t="str">
        <f>IF(ISNUMBER(VALUE(MID('IO'!$E11,1,1))),VALUE(MID('IO'!$E11,1,1)),MID('IO'!$E11,1,1))</f>
        <v>J</v>
      </c>
      <c r="F35" s="191" t="str">
        <f>IF(ISNUMBER(VALUE(MID('IO'!$E11,2,1))),VALUE(MID('IO'!$E11,2,1)),MID('IO'!$E11,2,1))</f>
        <v>u</v>
      </c>
      <c r="G35" s="191" t="str">
        <f>IF(ISNUMBER(VALUE(MID('IO'!$E11,3,1))),VALUE(MID('IO'!$E11,3,1)),MID('IO'!$E11,3,1))</f>
        <v>n</v>
      </c>
      <c r="H35" s="191" t="str">
        <f>IF(ISNUMBER(VALUE(MID('IO'!$E11,4,1))),VALUE(MID('IO'!$E11,4,1)),MID('IO'!$E11,4,1))</f>
        <v>e</v>
      </c>
      <c r="I35" s="191" t="str">
        <f>IF(ISNUMBER(VALUE(MID('IO'!$E11,5,1))),VALUE(MID('IO'!$E11,5,1)),MID('IO'!$E11,5,1))</f>
        <v>a</v>
      </c>
      <c r="J35" s="191" t="str">
        <f>IF(ISNUMBER(VALUE(MID('IO'!$E11,6,1))),VALUE(MID('IO'!$E11,6,1)),MID('IO'!$E11,6,1))</f>
        <v>u</v>
      </c>
      <c r="K35" s="191" t="str">
        <f>IF(ISNUMBER(VALUE(MID('IO'!$E11,7,1))),VALUE(MID('IO'!$E11,7,1)),MID('IO'!$E11,7,1))</f>
        <v> </v>
      </c>
      <c r="L35" s="191">
        <f>IF(ISNUMBER(VALUE(MID('IO'!$E11,8,1))),VALUE(MID('IO'!$E11,8,1)),MID('IO'!$E11,8,1))</f>
        <v>1</v>
      </c>
      <c r="M35" s="191">
        <f>IF(ISNUMBER(VALUE(MID('IO'!$E11,9,1))),VALUE(MID('IO'!$E11,9,1)),MID('IO'!$E11,9,1))</f>
        <v>5</v>
      </c>
      <c r="N35" s="191">
        <f>IF(ISNUMBER(VALUE(MID('IO'!$E11,10,1))),VALUE(MID('IO'!$E11,10,1)),MID('IO'!$E11,10,1))</f>
      </c>
      <c r="O35" s="191">
        <f>IF(ISNUMBER(VALUE(MID('IO'!$E11,11,1))),VALUE(MID('IO'!$E11,11,1)),MID('IO'!$E11,11,1))</f>
      </c>
      <c r="P35" s="191">
        <f>IF(ISNUMBER(VALUE(MID('IO'!$E11,12,1))),VALUE(MID('IO'!$E11,12,1)),MID('IO'!$E11,12,1))</f>
      </c>
      <c r="Q35" s="191">
        <f>IF(ISNUMBER(VALUE(MID('IO'!$E11,13,1))),VALUE(MID('IO'!$E11,13,1)),MID('IO'!$E11,13,1))</f>
      </c>
      <c r="R35" s="191">
        <f>IF(ISNUMBER(VALUE(MID('IO'!$E11,14,1))),VALUE(MID('IO'!$E11,14,1)),MID('IO'!$E11,14,1))</f>
      </c>
      <c r="S35" s="191">
        <f>IF(ISNUMBER(VALUE(MID('IO'!$E11,15,1))),VALUE(MID('IO'!$E11,15,1)),MID('IO'!$E11,15,1))</f>
      </c>
      <c r="T35" s="191">
        <f>IF(ISNUMBER(VALUE(MID('IO'!$E11,16,1))),VALUE(MID('IO'!$E11,16,1)),MID('IO'!$E11,16,1))</f>
      </c>
      <c r="U35" s="191">
        <f>IF(ISNUMBER(VALUE(MID('IO'!$E11,17,1))),VALUE(MID('IO'!$E11,17,1)),MID('IO'!$E11,17,1))</f>
      </c>
      <c r="V35" s="191">
        <f>IF(ISNUMBER(VALUE(MID('IO'!$E11,18,1))),VALUE(MID('IO'!$E11,18,1)),MID('IO'!$E11,18,1))</f>
      </c>
      <c r="W35" s="191">
        <f>IF(ISNUMBER(VALUE(MID('IO'!$E11,19,1))),VALUE(MID('IO'!$E11,19,1)),MID('IO'!$E11,19,1))</f>
      </c>
      <c r="X35" s="191">
        <f>IF(ISNUMBER(VALUE(MID('IO'!$E11,20,1))),VALUE(MID('IO'!$E11,20,1)),MID('IO'!$E11,20,1))</f>
      </c>
      <c r="Y35" s="191">
        <f>IF(ISNUMBER(VALUE(MID('IO'!$E11,21,1))),VALUE(MID('IO'!$E11,21,1)),MID('IO'!$E11,21,1))</f>
      </c>
      <c r="Z35" s="191">
        <f>IF(ISNUMBER(VALUE(MID('IO'!$E11,22,1))),VALUE(MID('IO'!$E11,22,1)),MID('IO'!$E11,22,1))</f>
      </c>
      <c r="AA35" s="191">
        <f>IF(ISNUMBER(VALUE(MID('IO'!$E11,23,1))),VALUE(MID('IO'!$E11,23,1)),MID('IO'!$E11,23,1))</f>
      </c>
      <c r="AB35" s="191">
        <f>IF(ISNUMBER(VALUE(MID('IO'!$E11,24,1))),VALUE(MID('IO'!$E11,24,1)),MID('IO'!$E11,24,1))</f>
      </c>
      <c r="AC35" s="191">
        <f>IF(ISNUMBER(VALUE(MID('IO'!$E11,25,1))),VALUE(MID('IO'!$E11,25,1)),MID('IO'!$E11,25,1))</f>
      </c>
      <c r="AD35" s="191">
        <f>IF(ISNUMBER(VALUE(MID('IO'!$E11,26,1))),VALUE(MID('IO'!$E11,26,1)),MID('IO'!$E11,26,1))</f>
      </c>
      <c r="AE35" s="191">
        <f>IF(ISNUMBER(VALUE(MID('IO'!$E11,27,1))),VALUE(MID('IO'!$E11,27,1)),MID('IO'!$E11,27,1))</f>
      </c>
      <c r="AF35" s="191">
        <f>IF(ISNUMBER(VALUE(MID('IO'!$E11,28,1))),VALUE(MID('IO'!$E11,28,1)),MID('IO'!$E11,28,1))</f>
      </c>
      <c r="AG35" s="191">
        <f>IF(ISNUMBER(VALUE(MID('IO'!$E11,29,1))),VALUE(MID('IO'!$E11,29,1)),MID('IO'!$E11,29,1))</f>
      </c>
      <c r="AH35" s="191">
        <f>IF(ISNUMBER(VALUE(MID('IO'!$E11,30,1))),VALUE(MID('IO'!$E11,30,1)),MID('IO'!$E11,30,1))</f>
      </c>
      <c r="AI35" s="185"/>
      <c r="AJ35" s="10"/>
      <c r="AK35" s="37"/>
      <c r="AL35" s="9"/>
      <c r="AM35" s="9" t="s">
        <v>87</v>
      </c>
    </row>
    <row r="36" spans="2:37" s="128" customFormat="1" ht="11.25">
      <c r="B36" s="128" t="s">
        <v>130</v>
      </c>
      <c r="C36" s="157"/>
      <c r="D36" s="158"/>
      <c r="E36" s="158" t="str">
        <f aca="true" t="shared" si="10" ref="E36:AH36">IF(E35="","",IF(ISNUMBER(FIND(E35,"abcdefghijklmnopqrstuvwxyz",1)),"L",IF(ISNUMBER(FIND(E35,"ABCDEFGHIJKLMNOPQRSTUVWXYZ",1)),"U","")))</f>
        <v>U</v>
      </c>
      <c r="F36" s="158" t="str">
        <f t="shared" si="10"/>
        <v>L</v>
      </c>
      <c r="G36" s="158" t="str">
        <f t="shared" si="10"/>
        <v>L</v>
      </c>
      <c r="H36" s="158" t="str">
        <f t="shared" si="10"/>
        <v>L</v>
      </c>
      <c r="I36" s="158" t="str">
        <f t="shared" si="10"/>
        <v>L</v>
      </c>
      <c r="J36" s="158" t="str">
        <f t="shared" si="10"/>
        <v>L</v>
      </c>
      <c r="K36" s="158">
        <f t="shared" si="10"/>
      </c>
      <c r="L36" s="158">
        <f t="shared" si="10"/>
      </c>
      <c r="M36" s="158">
        <f t="shared" si="10"/>
      </c>
      <c r="N36" s="158">
        <f t="shared" si="10"/>
      </c>
      <c r="O36" s="158">
        <f t="shared" si="10"/>
      </c>
      <c r="P36" s="158">
        <f t="shared" si="10"/>
      </c>
      <c r="Q36" s="158">
        <f t="shared" si="10"/>
      </c>
      <c r="R36" s="158">
        <f t="shared" si="10"/>
      </c>
      <c r="S36" s="158">
        <f t="shared" si="10"/>
      </c>
      <c r="T36" s="158">
        <f t="shared" si="10"/>
      </c>
      <c r="U36" s="158">
        <f t="shared" si="10"/>
      </c>
      <c r="V36" s="158">
        <f t="shared" si="10"/>
      </c>
      <c r="W36" s="158">
        <f t="shared" si="10"/>
      </c>
      <c r="X36" s="158">
        <f t="shared" si="10"/>
      </c>
      <c r="Y36" s="158">
        <f t="shared" si="10"/>
      </c>
      <c r="Z36" s="158">
        <f t="shared" si="10"/>
      </c>
      <c r="AA36" s="158">
        <f t="shared" si="10"/>
      </c>
      <c r="AB36" s="158">
        <f t="shared" si="10"/>
      </c>
      <c r="AC36" s="158">
        <f t="shared" si="10"/>
      </c>
      <c r="AD36" s="158">
        <f t="shared" si="10"/>
      </c>
      <c r="AE36" s="158">
        <f t="shared" si="10"/>
      </c>
      <c r="AF36" s="158">
        <f t="shared" si="10"/>
      </c>
      <c r="AG36" s="158">
        <f t="shared" si="10"/>
      </c>
      <c r="AH36" s="158">
        <f t="shared" si="10"/>
      </c>
      <c r="AI36" s="161"/>
      <c r="AJ36" s="160"/>
      <c r="AK36" s="162"/>
    </row>
    <row r="37" spans="2:37" s="128" customFormat="1" ht="11.25">
      <c r="B37" s="128" t="s">
        <v>125</v>
      </c>
      <c r="C37" s="157"/>
      <c r="D37" s="158"/>
      <c r="E37" s="158">
        <f>IF(ISNUMBER(E35),"N",IF(E35=" ","S",IF(OR(E35="&lt;",E35="&gt;",E35="^"),"A","")))</f>
      </c>
      <c r="F37" s="158">
        <f aca="true" t="shared" si="11" ref="F37:AH37">IF(ISNUMBER(F35),"N",IF(F35=" ","S",IF(OR(F35="&lt;",F35="&gt;",F35="^"),"A","")))</f>
      </c>
      <c r="G37" s="158">
        <f t="shared" si="11"/>
      </c>
      <c r="H37" s="158">
        <f t="shared" si="11"/>
      </c>
      <c r="I37" s="158">
        <f t="shared" si="11"/>
      </c>
      <c r="J37" s="158">
        <f t="shared" si="11"/>
      </c>
      <c r="K37" s="158" t="str">
        <f t="shared" si="11"/>
        <v>S</v>
      </c>
      <c r="L37" s="158" t="str">
        <f t="shared" si="11"/>
        <v>N</v>
      </c>
      <c r="M37" s="158" t="str">
        <f t="shared" si="11"/>
        <v>N</v>
      </c>
      <c r="N37" s="158">
        <f t="shared" si="11"/>
      </c>
      <c r="O37" s="158">
        <f t="shared" si="11"/>
      </c>
      <c r="P37" s="158">
        <f t="shared" si="11"/>
      </c>
      <c r="Q37" s="158">
        <f t="shared" si="11"/>
      </c>
      <c r="R37" s="158">
        <f t="shared" si="11"/>
      </c>
      <c r="S37" s="158">
        <f t="shared" si="11"/>
      </c>
      <c r="T37" s="158">
        <f t="shared" si="11"/>
      </c>
      <c r="U37" s="158">
        <f t="shared" si="11"/>
      </c>
      <c r="V37" s="158">
        <f t="shared" si="11"/>
      </c>
      <c r="W37" s="158">
        <f t="shared" si="11"/>
      </c>
      <c r="X37" s="158">
        <f t="shared" si="11"/>
      </c>
      <c r="Y37" s="158">
        <f t="shared" si="11"/>
      </c>
      <c r="Z37" s="158">
        <f t="shared" si="11"/>
      </c>
      <c r="AA37" s="158">
        <f t="shared" si="11"/>
      </c>
      <c r="AB37" s="158">
        <f t="shared" si="11"/>
      </c>
      <c r="AC37" s="158">
        <f t="shared" si="11"/>
      </c>
      <c r="AD37" s="158">
        <f t="shared" si="11"/>
      </c>
      <c r="AE37" s="158">
        <f t="shared" si="11"/>
      </c>
      <c r="AF37" s="158">
        <f t="shared" si="11"/>
      </c>
      <c r="AG37" s="158">
        <f t="shared" si="11"/>
      </c>
      <c r="AH37" s="158">
        <f t="shared" si="11"/>
      </c>
      <c r="AI37" s="161"/>
      <c r="AJ37" s="160"/>
      <c r="AK37" s="162"/>
    </row>
    <row r="38" spans="2:37" s="128" customFormat="1" ht="11.25">
      <c r="B38" s="128" t="s">
        <v>126</v>
      </c>
      <c r="C38" s="157"/>
      <c r="D38" s="158"/>
      <c r="E38" s="164">
        <f aca="true" t="shared" si="12" ref="E38:AH38">IF(E35="","",$I$4)</f>
        <v>4</v>
      </c>
      <c r="F38" s="164">
        <f t="shared" si="12"/>
        <v>4</v>
      </c>
      <c r="G38" s="164">
        <f t="shared" si="12"/>
        <v>4</v>
      </c>
      <c r="H38" s="164">
        <f t="shared" si="12"/>
        <v>4</v>
      </c>
      <c r="I38" s="164">
        <f t="shared" si="12"/>
        <v>4</v>
      </c>
      <c r="J38" s="164">
        <f t="shared" si="12"/>
        <v>4</v>
      </c>
      <c r="K38" s="164">
        <f t="shared" si="12"/>
        <v>4</v>
      </c>
      <c r="L38" s="164">
        <f t="shared" si="12"/>
        <v>4</v>
      </c>
      <c r="M38" s="164">
        <f t="shared" si="12"/>
        <v>4</v>
      </c>
      <c r="N38" s="164">
        <f t="shared" si="12"/>
      </c>
      <c r="O38" s="164">
        <f t="shared" si="12"/>
      </c>
      <c r="P38" s="164">
        <f t="shared" si="12"/>
      </c>
      <c r="Q38" s="164">
        <f>IF(Q35="","",$I$4)</f>
      </c>
      <c r="R38" s="164">
        <f t="shared" si="12"/>
      </c>
      <c r="S38" s="164">
        <f t="shared" si="12"/>
      </c>
      <c r="T38" s="164">
        <f t="shared" si="12"/>
      </c>
      <c r="U38" s="164">
        <f t="shared" si="12"/>
      </c>
      <c r="V38" s="164">
        <f t="shared" si="12"/>
      </c>
      <c r="W38" s="164">
        <f t="shared" si="12"/>
      </c>
      <c r="X38" s="164">
        <f t="shared" si="12"/>
      </c>
      <c r="Y38" s="164">
        <f t="shared" si="12"/>
      </c>
      <c r="Z38" s="164">
        <f t="shared" si="12"/>
      </c>
      <c r="AA38" s="164">
        <f t="shared" si="12"/>
      </c>
      <c r="AB38" s="164">
        <f t="shared" si="12"/>
      </c>
      <c r="AC38" s="164">
        <f t="shared" si="12"/>
      </c>
      <c r="AD38" s="164">
        <f t="shared" si="12"/>
      </c>
      <c r="AE38" s="164">
        <f t="shared" si="12"/>
      </c>
      <c r="AF38" s="164">
        <f t="shared" si="12"/>
      </c>
      <c r="AG38" s="164">
        <f t="shared" si="12"/>
      </c>
      <c r="AH38" s="164">
        <f t="shared" si="12"/>
      </c>
      <c r="AI38" s="161"/>
      <c r="AJ38" s="160"/>
      <c r="AK38" s="162"/>
    </row>
    <row r="39" spans="2:37" s="128" customFormat="1" ht="11.25">
      <c r="B39" s="128" t="s">
        <v>122</v>
      </c>
      <c r="C39" s="157"/>
      <c r="D39" s="158"/>
      <c r="E39" s="158">
        <v>0</v>
      </c>
      <c r="F39" s="158">
        <f aca="true" t="shared" si="13" ref="F39:AH39">IF(F37="S",IF(OR(AND(ISTEXT(E35),G37="N"),AND(E37="N",ISTEXT(G35))),$I$7,$I$6),0)</f>
        <v>0</v>
      </c>
      <c r="G39" s="158">
        <f t="shared" si="13"/>
        <v>0</v>
      </c>
      <c r="H39" s="158">
        <f t="shared" si="13"/>
        <v>0</v>
      </c>
      <c r="I39" s="158">
        <f t="shared" si="13"/>
        <v>0</v>
      </c>
      <c r="J39" s="158">
        <f t="shared" si="13"/>
        <v>0</v>
      </c>
      <c r="K39" s="158">
        <f t="shared" si="13"/>
        <v>1.5</v>
      </c>
      <c r="L39" s="158">
        <f t="shared" si="13"/>
        <v>0</v>
      </c>
      <c r="M39" s="158">
        <f t="shared" si="13"/>
        <v>0</v>
      </c>
      <c r="N39" s="158">
        <f t="shared" si="13"/>
        <v>0</v>
      </c>
      <c r="O39" s="158">
        <f t="shared" si="13"/>
        <v>0</v>
      </c>
      <c r="P39" s="158">
        <f t="shared" si="13"/>
        <v>0</v>
      </c>
      <c r="Q39" s="158">
        <f t="shared" si="13"/>
        <v>0</v>
      </c>
      <c r="R39" s="158">
        <f t="shared" si="13"/>
        <v>0</v>
      </c>
      <c r="S39" s="158">
        <f t="shared" si="13"/>
        <v>0</v>
      </c>
      <c r="T39" s="158">
        <f t="shared" si="13"/>
        <v>0</v>
      </c>
      <c r="U39" s="158">
        <f t="shared" si="13"/>
        <v>0</v>
      </c>
      <c r="V39" s="158">
        <f t="shared" si="13"/>
        <v>0</v>
      </c>
      <c r="W39" s="158">
        <f t="shared" si="13"/>
        <v>0</v>
      </c>
      <c r="X39" s="158">
        <f t="shared" si="13"/>
        <v>0</v>
      </c>
      <c r="Y39" s="158">
        <f t="shared" si="13"/>
        <v>0</v>
      </c>
      <c r="Z39" s="158">
        <f t="shared" si="13"/>
        <v>0</v>
      </c>
      <c r="AA39" s="158">
        <f t="shared" si="13"/>
        <v>0</v>
      </c>
      <c r="AB39" s="158">
        <f t="shared" si="13"/>
        <v>0</v>
      </c>
      <c r="AC39" s="158">
        <f t="shared" si="13"/>
        <v>0</v>
      </c>
      <c r="AD39" s="158">
        <f t="shared" si="13"/>
        <v>0</v>
      </c>
      <c r="AE39" s="158">
        <f t="shared" si="13"/>
        <v>0</v>
      </c>
      <c r="AF39" s="158">
        <f t="shared" si="13"/>
        <v>0</v>
      </c>
      <c r="AG39" s="158">
        <f t="shared" si="13"/>
        <v>0</v>
      </c>
      <c r="AH39" s="158">
        <f t="shared" si="13"/>
        <v>0</v>
      </c>
      <c r="AI39" s="159"/>
      <c r="AJ39" s="160"/>
      <c r="AK39" s="158"/>
    </row>
    <row r="40" spans="2:37" s="128" customFormat="1" ht="12.75">
      <c r="B40" s="128" t="s">
        <v>141</v>
      </c>
      <c r="C40" s="201" t="s">
        <v>146</v>
      </c>
      <c r="D40" s="158"/>
      <c r="E40" s="173">
        <v>0</v>
      </c>
      <c r="F40" s="174">
        <f>IF(F37="A",0,IF(F35="",0,IF(OR(F37="S",E37="S"),0,IF(F36="L",F38/4*VLOOKUP(F35,Data!$B$32:$AH$57,$C$58-3,FALSE),F38/4*VLOOKUP(F35,Data!$B$6:$AH$86,$C$58-3,FALSE)))))*(1-$I$9)</f>
        <v>0.76</v>
      </c>
      <c r="G40" s="174">
        <f>IF(G37="A",0,IF(G35="",0,IF(OR(G37="S",F37="S"),0,IF(G36="L",G38/4*VLOOKUP(G35,Data!$B$32:$AH$57,$C$58-3,FALSE),G38/4*VLOOKUP(G35,Data!$B$6:$AH$86,$C$58-3,FALSE)))))*(1-$I$9)</f>
        <v>0.76</v>
      </c>
      <c r="H40" s="174">
        <f>IF(H37="A",0,IF(H35="",0,IF(OR(H37="S",G37="S"),0,IF(H36="L",H38/4*VLOOKUP(H35,Data!$B$32:$AH$57,$C$58-3,FALSE),H38/4*VLOOKUP(H35,Data!$B$6:$AH$86,$C$58-3,FALSE)))))*(1-$I$9)</f>
        <v>0.6</v>
      </c>
      <c r="I40" s="174">
        <f>IF(I37="A",0,IF(I35="",0,IF(OR(I37="S",H37="S"),0,IF(I36="L",I38/4*VLOOKUP(I35,Data!$B$32:$AH$57,$C$58-3,FALSE),I38/4*VLOOKUP(I35,Data!$B$6:$AH$86,$C$58-3,FALSE)))))*(1-$I$9)</f>
        <v>0.52</v>
      </c>
      <c r="J40" s="174">
        <f>IF(J37="A",0,IF(J35="",0,IF(OR(J37="S",I37="S"),0,IF(J36="L",J38/4*VLOOKUP(J35,Data!$B$32:$AH$57,$C$58-3,FALSE),J38/4*VLOOKUP(J35,Data!$B$6:$AH$86,$C$58-3,FALSE)))))*(1-$I$9)</f>
        <v>0.76</v>
      </c>
      <c r="K40" s="174">
        <f>IF(K37="A",0,IF(K35="",0,IF(OR(K37="S",J37="S"),0,IF(K36="L",K38/4*VLOOKUP(K35,Data!$B$32:$AH$57,$C$58-3,FALSE),K38/4*VLOOKUP(K35,Data!$B$6:$AH$86,$C$58-3,FALSE)))))*(1-$I$9)</f>
        <v>0</v>
      </c>
      <c r="L40" s="174">
        <f>IF(L37="A",0,IF(L35="",0,IF(OR(L37="S",K37="S"),0,IF(L36="L",L38/4*VLOOKUP(L35,Data!$B$32:$AH$57,$C$58-3,FALSE),L38/4*VLOOKUP(L35,Data!$B$6:$AH$86,$C$58-3,FALSE)))))*(1-$I$9)</f>
        <v>0</v>
      </c>
      <c r="M40" s="174">
        <f>IF(M37="A",0,IF(M35="",0,IF(OR(M37="S",L37="S"),0,IF(M36="L",M38/4*VLOOKUP(M35,Data!$B$32:$AH$57,$C$58-3,FALSE),M38/4*VLOOKUP(M35,Data!$B$6:$AH$86,$C$58-3,FALSE)))))*(1-$I$9)</f>
        <v>0.6</v>
      </c>
      <c r="N40" s="174">
        <f>IF(N37="A",0,IF(N35="",0,IF(OR(N37="S",M37="S"),0,IF(N36="L",N38/4*VLOOKUP(N35,Data!$B$32:$AH$57,$C$58-3,FALSE),N38/4*VLOOKUP(N35,Data!$B$6:$AH$86,$C$58-3,FALSE)))))*(1-$I$9)</f>
        <v>0</v>
      </c>
      <c r="O40" s="174">
        <f>IF(O37="A",0,IF(O35="",0,IF(OR(O37="S",N37="S"),0,IF(O36="L",O38/4*VLOOKUP(O35,Data!$B$32:$AH$57,$C$58-3,FALSE),O38/4*VLOOKUP(O35,Data!$B$6:$AH$86,$C$58-3,FALSE)))))*(1-$I$9)</f>
        <v>0</v>
      </c>
      <c r="P40" s="174">
        <f>IF(P37="A",0,IF(P35="",0,IF(OR(P37="S",O37="S"),0,IF(P36="L",P38/4*VLOOKUP(P35,Data!$B$32:$AH$57,$C$58-3,FALSE),P38/4*VLOOKUP(P35,Data!$B$6:$AH$86,$C$58-3,FALSE)))))*(1-$I$9)</f>
        <v>0</v>
      </c>
      <c r="Q40" s="174">
        <f>IF(Q37="A",0,IF(Q35="",0,IF(OR(Q37="S",P37="S"),0,IF(Q36="L",Q38/4*VLOOKUP(Q35,Data!$B$32:$AH$57,$C$58-3,FALSE),Q38/4*VLOOKUP(Q35,Data!$B$6:$AH$86,$C$58-3,FALSE)))))*(1-$I$9)</f>
        <v>0</v>
      </c>
      <c r="R40" s="174">
        <f>IF(R37="A",0,IF(R35="",0,IF(OR(R37="S",Q37="S"),0,IF(R36="L",R38/4*VLOOKUP(R35,Data!$B$32:$AH$57,$C$58-3,FALSE),R38/4*VLOOKUP(R35,Data!$B$6:$AH$86,$C$58-3,FALSE)))))*(1-$I$9)</f>
        <v>0</v>
      </c>
      <c r="S40" s="174">
        <f>IF(S37="A",0,IF(S35="",0,IF(OR(S37="S",R37="S"),0,IF(S36="L",S38/4*VLOOKUP(S35,Data!$B$32:$AH$57,$C$58-3,FALSE),S38/4*VLOOKUP(S35,Data!$B$6:$AH$86,$C$58-3,FALSE)))))*(1-$I$9)</f>
        <v>0</v>
      </c>
      <c r="T40" s="174">
        <f>IF(T37="A",0,IF(T35="",0,IF(OR(T37="S",S37="S"),0,IF(T36="L",T38/4*VLOOKUP(T35,Data!$B$32:$AH$57,$C$58-3,FALSE),T38/4*VLOOKUP(T35,Data!$B$6:$AH$86,$C$58-3,FALSE)))))*(1-$I$9)</f>
        <v>0</v>
      </c>
      <c r="U40" s="174">
        <f>IF(U37="A",0,IF(U35="",0,IF(OR(U37="S",T37="S"),0,IF(U36="L",U38/4*VLOOKUP(U35,Data!$B$32:$AH$57,$C$58-3,FALSE),U38/4*VLOOKUP(U35,Data!$B$6:$AH$86,$C$58-3,FALSE)))))*(1-$I$9)</f>
        <v>0</v>
      </c>
      <c r="V40" s="174">
        <f>IF(V37="A",0,IF(V35="",0,IF(OR(V37="S",U37="S"),0,IF(V36="L",V38/4*VLOOKUP(V35,Data!$B$32:$AH$57,$C$58-3,FALSE),V38/4*VLOOKUP(V35,Data!$B$6:$AH$86,$C$58-3,FALSE)))))*(1-$I$9)</f>
        <v>0</v>
      </c>
      <c r="W40" s="174">
        <f>IF(W37="A",0,IF(W35="",0,IF(OR(W37="S",V37="S"),0,IF(W36="L",W38/4*VLOOKUP(W35,Data!$B$32:$AH$57,$C$58-3,FALSE),W38/4*VLOOKUP(W35,Data!$B$6:$AH$86,$C$58-3,FALSE)))))*(1-$I$9)</f>
        <v>0</v>
      </c>
      <c r="X40" s="174">
        <f>IF(X37="A",0,IF(X35="",0,IF(OR(X37="S",W37="S"),0,IF(X36="L",X38/4*VLOOKUP(X35,Data!$B$32:$AH$57,$C$58-3,FALSE),X38/4*VLOOKUP(X35,Data!$B$6:$AH$86,$C$58-3,FALSE)))))*(1-$I$9)</f>
        <v>0</v>
      </c>
      <c r="Y40" s="174">
        <f>IF(Y37="A",0,IF(Y35="",0,IF(OR(Y37="S",X37="S"),0,IF(Y36="L",Y38/4*VLOOKUP(Y35,Data!$B$32:$AH$57,$C$58-3,FALSE),Y38/4*VLOOKUP(Y35,Data!$B$6:$AH$86,$C$58-3,FALSE)))))*(1-$I$9)</f>
        <v>0</v>
      </c>
      <c r="Z40" s="174">
        <f>IF(Z37="A",0,IF(Z35="",0,IF(OR(Z37="S",Y37="S"),0,IF(Z36="L",Z38/4*VLOOKUP(Z35,Data!$B$32:$AH$57,$C$58-3,FALSE),Z38/4*VLOOKUP(Z35,Data!$B$6:$AH$86,$C$58-3,FALSE)))))*(1-$I$9)</f>
        <v>0</v>
      </c>
      <c r="AA40" s="174">
        <f>IF(AA37="A",0,IF(AA35="",0,IF(OR(AA37="S",Z37="S"),0,IF(AA36="L",AA38/4*VLOOKUP(AA35,Data!$B$32:$AH$57,$C$58-3,FALSE),AA38/4*VLOOKUP(AA35,Data!$B$6:$AH$86,$C$58-3,FALSE)))))*(1-$I$9)</f>
        <v>0</v>
      </c>
      <c r="AB40" s="174">
        <f>IF(AB37="A",0,IF(AB35="",0,IF(OR(AB37="S",AA37="S"),0,IF(AB36="L",AB38/4*VLOOKUP(AB35,Data!$B$32:$AH$57,$C$58-3,FALSE),AB38/4*VLOOKUP(AB35,Data!$B$6:$AH$86,$C$58-3,FALSE)))))*(1-$I$9)</f>
        <v>0</v>
      </c>
      <c r="AC40" s="174">
        <f>IF(AC37="A",0,IF(AC35="",0,IF(OR(AC37="S",AB37="S"),0,IF(AC36="L",AC38/4*VLOOKUP(AC35,Data!$B$32:$AH$57,$C$58-3,FALSE),AC38/4*VLOOKUP(AC35,Data!$B$6:$AH$86,$C$58-3,FALSE)))))*(1-$I$9)</f>
        <v>0</v>
      </c>
      <c r="AD40" s="174">
        <f>IF(AD37="A",0,IF(AD35="",0,IF(OR(AD37="S",AC37="S"),0,IF(AD36="L",AD38/4*VLOOKUP(AD35,Data!$B$32:$AH$57,$C$58-3,FALSE),AD38/4*VLOOKUP(AD35,Data!$B$6:$AH$86,$C$58-3,FALSE)))))*(1-$I$9)</f>
        <v>0</v>
      </c>
      <c r="AE40" s="174">
        <f>IF(AE37="A",0,IF(AE35="",0,IF(OR(AE37="S",AD37="S"),0,IF(AE36="L",AE38/4*VLOOKUP(AE35,Data!$B$32:$AH$57,$C$58-3,FALSE),AE38/4*VLOOKUP(AE35,Data!$B$6:$AH$86,$C$58-3,FALSE)))))*(1-$I$9)</f>
        <v>0</v>
      </c>
      <c r="AF40" s="174">
        <f>IF(AF37="A",0,IF(AF35="",0,IF(OR(AF37="S",AE37="S"),0,IF(AF36="L",AF38/4*VLOOKUP(AF35,Data!$B$32:$AH$57,$C$58-3,FALSE),AF38/4*VLOOKUP(AF35,Data!$B$6:$AH$86,$C$58-3,FALSE)))))*(1-$I$9)</f>
        <v>0</v>
      </c>
      <c r="AG40" s="174">
        <f>IF(AG37="A",0,IF(AG35="",0,IF(OR(AG37="S",AF37="S"),0,IF(AG36="L",AG38/4*VLOOKUP(AG35,Data!$B$32:$AH$57,$C$58-3,FALSE),AG38/4*VLOOKUP(AG35,Data!$B$6:$AH$86,$C$58-3,FALSE)))))*(1-$I$9)</f>
        <v>0</v>
      </c>
      <c r="AH40" s="175">
        <f>IF(AH37="A",0,IF(AH35="",0,IF(OR(AH37="S",AG37="S"),0,IF(AH36="L",AH38/4*VLOOKUP(AH35,Data!$B$32:$AH$57,$C$58-3,FALSE),AH38/4*VLOOKUP(AH35,Data!$B$6:$AH$86,$C$58-3,FALSE)))))*(1-$I$9)</f>
        <v>0</v>
      </c>
      <c r="AI40" s="159"/>
      <c r="AJ40" s="160"/>
      <c r="AK40" s="158"/>
    </row>
    <row r="41" spans="2:37" s="128" customFormat="1" ht="12.75">
      <c r="B41" s="128" t="s">
        <v>142</v>
      </c>
      <c r="C41" s="201" t="s">
        <v>147</v>
      </c>
      <c r="D41" s="158"/>
      <c r="E41" s="176">
        <f>IF(E37="A",$R$6,IF(E35="",0,IF(E37="S",E38*E39*(1-$I$8),IF(E36="L",E38/4*VLOOKUP(E35,Data!$B$32:$AH$57,$C$58-2,FALSE),E38/4*VLOOKUP(E35,Data!$B$6:$AH$86,$C$58-2,FALSE)))))</f>
        <v>2.24</v>
      </c>
      <c r="F41" s="171">
        <f>IF(F37="A",$R$6,IF(F35="",0,IF(F37="S",F38*F39*(1-$I$8),IF(F36="L",F38/4*VLOOKUP(F35,Data!$B$32:$AH$57,$C$58-2,FALSE),F38/4*VLOOKUP(F35,Data!$B$6:$AH$86,$C$58-2,FALSE)))))</f>
        <v>2.72</v>
      </c>
      <c r="G41" s="171">
        <f>IF(G37="A",$R$6,IF(G35="",0,IF(G37="S",G38*G39*(1-$I$8),IF(G36="L",G38/4*VLOOKUP(G35,Data!$B$32:$AH$57,$C$58-2,FALSE),G38/4*VLOOKUP(G35,Data!$B$6:$AH$86,$C$58-2,FALSE)))))</f>
        <v>2.76</v>
      </c>
      <c r="H41" s="171">
        <f>IF(H37="A",$R$6,IF(H35="",0,IF(H37="S",H38*H39*(1-$I$8),IF(H36="L",H38/4*VLOOKUP(H35,Data!$B$32:$AH$57,$C$58-2,FALSE),H38/4*VLOOKUP(H35,Data!$B$6:$AH$86,$C$58-2,FALSE)))))</f>
        <v>2.96</v>
      </c>
      <c r="I41" s="171">
        <f>IF(I37="A",$R$6,IF(I35="",0,IF(I37="S",I38*I39*(1-$I$8),IF(I36="L",I38/4*VLOOKUP(I35,Data!$B$32:$AH$57,$C$58-2,FALSE),I38/4*VLOOKUP(I35,Data!$B$6:$AH$86,$C$58-2,FALSE)))))</f>
        <v>2.96</v>
      </c>
      <c r="J41" s="171">
        <f>IF(J37="A",$R$6,IF(J35="",0,IF(J37="S",J38*J39*(1-$I$8),IF(J36="L",J38/4*VLOOKUP(J35,Data!$B$32:$AH$57,$C$58-2,FALSE),J38/4*VLOOKUP(J35,Data!$B$6:$AH$86,$C$58-2,FALSE)))))</f>
        <v>2.72</v>
      </c>
      <c r="K41" s="171">
        <f>IF(K37="A",$R$6,IF(K35="",0,IF(K37="S",K38*K39*(1-$I$8),IF(K36="L",K38/4*VLOOKUP(K35,Data!$B$32:$AH$57,$C$58-2,FALSE),K38/4*VLOOKUP(K35,Data!$B$6:$AH$86,$C$58-2,FALSE)))))</f>
        <v>6</v>
      </c>
      <c r="L41" s="171">
        <f>IF(L37="A",$R$6,IF(L35="",0,IF(L37="S",L38*L39*(1-$I$8),IF(L36="L",L38/4*VLOOKUP(L35,Data!$B$32:$AH$57,$C$58-2,FALSE),L38/4*VLOOKUP(L35,Data!$B$6:$AH$86,$C$58-2,FALSE)))))</f>
        <v>1.8</v>
      </c>
      <c r="M41" s="171">
        <f>IF(M37="A",$R$6,IF(M35="",0,IF(M37="S",M38*M39*(1-$I$8),IF(M36="L",M38/4*VLOOKUP(M35,Data!$B$32:$AH$57,$C$58-2,FALSE),M38/4*VLOOKUP(M35,Data!$B$6:$AH$86,$C$58-2,FALSE)))))</f>
        <v>2.76</v>
      </c>
      <c r="N41" s="171">
        <f>IF(N37="A",$R$6,IF(N35="",0,IF(N37="S",N38*N39*(1-$I$8),IF(N36="L",N38/4*VLOOKUP(N35,Data!$B$32:$AH$57,$C$58-2,FALSE),N38/4*VLOOKUP(N35,Data!$B$6:$AH$86,$C$58-2,FALSE)))))</f>
        <v>0</v>
      </c>
      <c r="O41" s="171">
        <f>IF(O37="A",$R$6,IF(O35="",0,IF(O37="S",O38*O39*(1-$I$8),IF(O36="L",O38/4*VLOOKUP(O35,Data!$B$32:$AH$57,$C$58-2,FALSE),O38/4*VLOOKUP(O35,Data!$B$6:$AH$86,$C$58-2,FALSE)))))</f>
        <v>0</v>
      </c>
      <c r="P41" s="171">
        <f>IF(P37="A",$R$6,IF(P35="",0,IF(P37="S",P38*P39*(1-$I$8),IF(P36="L",P38/4*VLOOKUP(P35,Data!$B$32:$AH$57,$C$58-2,FALSE),P38/4*VLOOKUP(P35,Data!$B$6:$AH$86,$C$58-2,FALSE)))))</f>
        <v>0</v>
      </c>
      <c r="Q41" s="171">
        <f>IF(Q37="A",$R$6,IF(Q35="",0,IF(Q37="S",Q38*Q39*(1-$I$8),IF(Q36="L",Q38/4*VLOOKUP(Q35,Data!$B$32:$AH$57,$C$58-2,FALSE),Q38/4*VLOOKUP(Q35,Data!$B$6:$AH$86,$C$58-2,FALSE)))))</f>
        <v>0</v>
      </c>
      <c r="R41" s="171">
        <f>IF(R37="A",$R$6,IF(R35="",0,IF(R37="S",R38*R39*(1-$I$8),IF(R36="L",R38/4*VLOOKUP(R35,Data!$B$32:$AH$57,$C$58-2,FALSE),R38/4*VLOOKUP(R35,Data!$B$6:$AH$86,$C$58-2,FALSE)))))</f>
        <v>0</v>
      </c>
      <c r="S41" s="171">
        <f>IF(S37="A",$R$6,IF(S35="",0,IF(S37="S",S38*S39*(1-$I$8),IF(S36="L",S38/4*VLOOKUP(S35,Data!$B$32:$AH$57,$C$58-2,FALSE),S38/4*VLOOKUP(S35,Data!$B$6:$AH$86,$C$58-2,FALSE)))))</f>
        <v>0</v>
      </c>
      <c r="T41" s="171">
        <f>IF(T37="A",$R$6,IF(T35="",0,IF(T37="S",T38*T39*(1-$I$8),IF(T36="L",T38/4*VLOOKUP(T35,Data!$B$32:$AH$57,$C$58-2,FALSE),T38/4*VLOOKUP(T35,Data!$B$6:$AH$86,$C$58-2,FALSE)))))</f>
        <v>0</v>
      </c>
      <c r="U41" s="171">
        <f>IF(U37="A",$R$6,IF(U35="",0,IF(U37="S",U38*U39*(1-$I$8),IF(U36="L",U38/4*VLOOKUP(U35,Data!$B$32:$AH$57,$C$58-2,FALSE),U38/4*VLOOKUP(U35,Data!$B$6:$AH$86,$C$58-2,FALSE)))))</f>
        <v>0</v>
      </c>
      <c r="V41" s="171">
        <f>IF(V37="A",$R$6,IF(V35="",0,IF(V37="S",V38*V39*(1-$I$8),IF(V36="L",V38/4*VLOOKUP(V35,Data!$B$32:$AH$57,$C$58-2,FALSE),V38/4*VLOOKUP(V35,Data!$B$6:$AH$86,$C$58-2,FALSE)))))</f>
        <v>0</v>
      </c>
      <c r="W41" s="171">
        <f>IF(W37="A",$R$6,IF(W35="",0,IF(W37="S",W38*W39*(1-$I$8),IF(W36="L",W38/4*VLOOKUP(W35,Data!$B$32:$AH$57,$C$58-2,FALSE),W38/4*VLOOKUP(W35,Data!$B$6:$AH$86,$C$58-2,FALSE)))))</f>
        <v>0</v>
      </c>
      <c r="X41" s="171">
        <f>IF(X37="A",$R$6,IF(X35="",0,IF(X37="S",X38*X39*(1-$I$8),IF(X36="L",X38/4*VLOOKUP(X35,Data!$B$32:$AH$57,$C$58-2,FALSE),X38/4*VLOOKUP(X35,Data!$B$6:$AH$86,$C$58-2,FALSE)))))</f>
        <v>0</v>
      </c>
      <c r="Y41" s="171">
        <f>IF(Y37="A",$R$6,IF(Y35="",0,IF(Y37="S",Y38*Y39*(1-$I$8),IF(Y36="L",Y38/4*VLOOKUP(Y35,Data!$B$32:$AH$57,$C$58-2,FALSE),Y38/4*VLOOKUP(Y35,Data!$B$6:$AH$86,$C$58-2,FALSE)))))</f>
        <v>0</v>
      </c>
      <c r="Z41" s="171">
        <f>IF(Z37="A",$R$6,IF(Z35="",0,IF(Z37="S",Z38*Z39*(1-$I$8),IF(Z36="L",Z38/4*VLOOKUP(Z35,Data!$B$32:$AH$57,$C$58-2,FALSE),Z38/4*VLOOKUP(Z35,Data!$B$6:$AH$86,$C$58-2,FALSE)))))</f>
        <v>0</v>
      </c>
      <c r="AA41" s="171">
        <f>IF(AA37="A",$R$6,IF(AA35="",0,IF(AA37="S",AA38*AA39*(1-$I$8),IF(AA36="L",AA38/4*VLOOKUP(AA35,Data!$B$32:$AH$57,$C$58-2,FALSE),AA38/4*VLOOKUP(AA35,Data!$B$6:$AH$86,$C$58-2,FALSE)))))</f>
        <v>0</v>
      </c>
      <c r="AB41" s="171">
        <f>IF(AB37="A",$R$6,IF(AB35="",0,IF(AB37="S",AB38*AB39*(1-$I$8),IF(AB36="L",AB38/4*VLOOKUP(AB35,Data!$B$32:$AH$57,$C$58-2,FALSE),AB38/4*VLOOKUP(AB35,Data!$B$6:$AH$86,$C$58-2,FALSE)))))</f>
        <v>0</v>
      </c>
      <c r="AC41" s="171">
        <f>IF(AC37="A",$R$6,IF(AC35="",0,IF(AC37="S",AC38*AC39*(1-$I$8),IF(AC36="L",AC38/4*VLOOKUP(AC35,Data!$B$32:$AH$57,$C$58-2,FALSE),AC38/4*VLOOKUP(AC35,Data!$B$6:$AH$86,$C$58-2,FALSE)))))</f>
        <v>0</v>
      </c>
      <c r="AD41" s="171">
        <f>IF(AD37="A",$R$6,IF(AD35="",0,IF(AD37="S",AD38*AD39*(1-$I$8),IF(AD36="L",AD38/4*VLOOKUP(AD35,Data!$B$32:$AH$57,$C$58-2,FALSE),AD38/4*VLOOKUP(AD35,Data!$B$6:$AH$86,$C$58-2,FALSE)))))</f>
        <v>0</v>
      </c>
      <c r="AE41" s="171">
        <f>IF(AE37="A",$R$6,IF(AE35="",0,IF(AE37="S",AE38*AE39*(1-$I$8),IF(AE36="L",AE38/4*VLOOKUP(AE35,Data!$B$32:$AH$57,$C$58-2,FALSE),AE38/4*VLOOKUP(AE35,Data!$B$6:$AH$86,$C$58-2,FALSE)))))</f>
        <v>0</v>
      </c>
      <c r="AF41" s="171">
        <f>IF(AF37="A",$R$6,IF(AF35="",0,IF(AF37="S",AF38*AF39*(1-$I$8),IF(AF36="L",AF38/4*VLOOKUP(AF35,Data!$B$32:$AH$57,$C$58-2,FALSE),AF38/4*VLOOKUP(AF35,Data!$B$6:$AH$86,$C$58-2,FALSE)))))</f>
        <v>0</v>
      </c>
      <c r="AG41" s="171">
        <f>IF(AG37="A",$R$6,IF(AG35="",0,IF(AG37="S",AG38*AG39*(1-$I$8),IF(AG36="L",AG38/4*VLOOKUP(AG35,Data!$B$32:$AH$57,$C$58-2,FALSE),AG38/4*VLOOKUP(AG35,Data!$B$6:$AH$86,$C$58-2,FALSE)))))</f>
        <v>0</v>
      </c>
      <c r="AH41" s="177">
        <f>IF(AH37="A",$R$6,IF(AH35="",0,IF(AH37="S",AH38*AH39*(1-$I$8),IF(AH36="L",AH38/4*VLOOKUP(AH35,Data!$B$32:$AH$57,$C$58-2,FALSE),AH38/4*VLOOKUP(AH35,Data!$B$6:$AH$86,$C$58-2,FALSE)))))</f>
        <v>0</v>
      </c>
      <c r="AI41" s="159"/>
      <c r="AJ41" s="160"/>
      <c r="AK41" s="158"/>
    </row>
    <row r="42" spans="2:37" s="128" customFormat="1" ht="12.75">
      <c r="B42" s="128" t="s">
        <v>140</v>
      </c>
      <c r="C42" s="201" t="s">
        <v>148</v>
      </c>
      <c r="D42" s="158"/>
      <c r="E42" s="178">
        <f>IF(F35="",0,IF(E37="A",0,IF(OR(E35="",F35=""),0,IF(OR(E37="S",F37="S"),0,IF(E36="L",E38/4*VLOOKUP(E35,Data!$B$32:$AH$57,$C$58-1,FALSE),E38/4*VLOOKUP(E35,Data!$B$6:$AH$86,$C$58-1,FALSE))))))*(1-$I$9)</f>
        <v>0.8</v>
      </c>
      <c r="F42" s="66">
        <f>IF(G35="",0,IF(F37="A",0,IF(OR(F35="",G35=""),0,IF(OR(F37="S",G37="S"),0,IF(F36="L",F38/4*VLOOKUP(F35,Data!$B$32:$AH$57,$C$58-1,FALSE),F38/4*VLOOKUP(F35,Data!$B$6:$AH$86,$C$58-1,FALSE))))))*(1-$I$9)</f>
        <v>0.76</v>
      </c>
      <c r="G42" s="66">
        <f>IF(H35="",0,IF(G37="A",0,IF(OR(G35="",H35=""),0,IF(OR(G37="S",H37="S"),0,IF(G36="L",G38/4*VLOOKUP(G35,Data!$B$32:$AH$57,$C$58-1,FALSE),G38/4*VLOOKUP(G35,Data!$B$6:$AH$86,$C$58-1,FALSE))))))*(1-$I$9)</f>
        <v>0.76</v>
      </c>
      <c r="H42" s="66">
        <f>IF(I35="",0,IF(H37="A",0,IF(OR(H35="",I35=""),0,IF(OR(H37="S",I37="S"),0,IF(H36="L",H38/4*VLOOKUP(H35,Data!$B$32:$AH$57,$C$58-1,FALSE),H38/4*VLOOKUP(H35,Data!$B$6:$AH$86,$C$58-1,FALSE))))))*(1-$I$9)</f>
        <v>0.6</v>
      </c>
      <c r="I42" s="66">
        <f>IF(J35="",0,IF(I37="A",0,IF(OR(I35="",J35=""),0,IF(OR(I37="S",J37="S"),0,IF(I36="L",I38/4*VLOOKUP(I35,Data!$B$32:$AH$57,$C$58-1,FALSE),I38/4*VLOOKUP(I35,Data!$B$6:$AH$86,$C$58-1,FALSE))))))*(1-$I$9)</f>
        <v>0.52</v>
      </c>
      <c r="J42" s="66">
        <f>IF(K35="",0,IF(J37="A",0,IF(OR(J35="",K35=""),0,IF(OR(J37="S",K37="S"),0,IF(J36="L",J38/4*VLOOKUP(J35,Data!$B$32:$AH$57,$C$58-1,FALSE),J38/4*VLOOKUP(J35,Data!$B$6:$AH$86,$C$58-1,FALSE))))))*(1-$I$9)</f>
        <v>0</v>
      </c>
      <c r="K42" s="66">
        <f>IF(L35="",0,IF(K37="A",0,IF(OR(K35="",L35=""),0,IF(OR(K37="S",L37="S"),0,IF(K36="L",K38/4*VLOOKUP(K35,Data!$B$32:$AH$57,$C$58-1,FALSE),K38/4*VLOOKUP(K35,Data!$B$6:$AH$86,$C$58-1,FALSE))))))*(1-$I$9)</f>
        <v>0</v>
      </c>
      <c r="L42" s="66">
        <f>IF(M35="",0,IF(L37="A",0,IF(OR(L35="",M35=""),0,IF(OR(L37="S",M37="S"),0,IF(L36="L",L38/4*VLOOKUP(L35,Data!$B$32:$AH$57,$C$58-1,FALSE),L38/4*VLOOKUP(L35,Data!$B$6:$AH$86,$C$58-1,FALSE))))))*(1-$I$9)</f>
        <v>0.8</v>
      </c>
      <c r="M42" s="66">
        <f>IF(N35="",0,IF(M37="A",0,IF(OR(M35="",N35=""),0,IF(OR(M37="S",N37="S"),0,IF(M36="L",M38/4*VLOOKUP(M35,Data!$B$32:$AH$57,$C$58-1,FALSE),M38/4*VLOOKUP(M35,Data!$B$6:$AH$86,$C$58-1,FALSE))))))*(1-$I$9)</f>
        <v>0</v>
      </c>
      <c r="N42" s="66">
        <f>IF(O35="",0,IF(N37="A",0,IF(OR(N35="",O35=""),0,IF(OR(N37="S",O37="S"),0,IF(N36="L",N38/4*VLOOKUP(N35,Data!$B$32:$AH$57,$C$58-1,FALSE),N38/4*VLOOKUP(N35,Data!$B$6:$AH$86,$C$58-1,FALSE))))))*(1-$I$9)</f>
        <v>0</v>
      </c>
      <c r="O42" s="66">
        <f>IF(P35="",0,IF(O37="A",0,IF(OR(O35="",P35=""),0,IF(OR(O37="S",P37="S"),0,IF(O36="L",O38/4*VLOOKUP(O35,Data!$B$32:$AH$57,$C$58-1,FALSE),O38/4*VLOOKUP(O35,Data!$B$6:$AH$86,$C$58-1,FALSE))))))*(1-$I$9)</f>
        <v>0</v>
      </c>
      <c r="P42" s="66">
        <f>IF(Q35="",0,IF(P37="A",0,IF(OR(P35="",Q35=""),0,IF(OR(P37="S",Q37="S"),0,IF(P36="L",P38/4*VLOOKUP(P35,Data!$B$32:$AH$57,$C$58-1,FALSE),P38/4*VLOOKUP(P35,Data!$B$6:$AH$86,$C$58-1,FALSE))))))*(1-$I$9)</f>
        <v>0</v>
      </c>
      <c r="Q42" s="66">
        <f>IF(R35="",0,IF(Q37="A",0,IF(OR(Q35="",R35=""),0,IF(OR(Q37="S",R37="S"),0,IF(Q36="L",Q38/4*VLOOKUP(Q35,Data!$B$32:$AH$57,$C$58-1,FALSE),Q38/4*VLOOKUP(Q35,Data!$B$6:$AH$86,$C$58-1,FALSE))))))*(1-$I$9)</f>
        <v>0</v>
      </c>
      <c r="R42" s="66">
        <f>IF(S35="",0,IF(R37="A",0,IF(OR(R35="",S35=""),0,IF(OR(R37="S",S37="S"),0,IF(R36="L",R38/4*VLOOKUP(R35,Data!$B$32:$AH$57,$C$58-1,FALSE),R38/4*VLOOKUP(R35,Data!$B$6:$AH$86,$C$58-1,FALSE))))))*(1-$I$9)</f>
        <v>0</v>
      </c>
      <c r="S42" s="66">
        <f>IF(T35="",0,IF(S37="A",0,IF(OR(S35="",T35=""),0,IF(OR(S37="S",T37="S"),0,IF(S36="L",S38/4*VLOOKUP(S35,Data!$B$32:$AH$57,$C$58-1,FALSE),S38/4*VLOOKUP(S35,Data!$B$6:$AH$86,$C$58-1,FALSE))))))*(1-$I$9)</f>
        <v>0</v>
      </c>
      <c r="T42" s="66">
        <f>IF(U35="",0,IF(T37="A",0,IF(OR(T35="",U35=""),0,IF(OR(T37="S",U37="S"),0,IF(T36="L",T38/4*VLOOKUP(T35,Data!$B$32:$AH$57,$C$58-1,FALSE),T38/4*VLOOKUP(T35,Data!$B$6:$AH$86,$C$58-1,FALSE))))))*(1-$I$9)</f>
        <v>0</v>
      </c>
      <c r="U42" s="66">
        <f>IF(V35="",0,IF(U37="A",0,IF(OR(U35="",V35=""),0,IF(OR(U37="S",V37="S"),0,IF(U36="L",U38/4*VLOOKUP(U35,Data!$B$32:$AH$57,$C$58-1,FALSE),U38/4*VLOOKUP(U35,Data!$B$6:$AH$86,$C$58-1,FALSE))))))*(1-$I$9)</f>
        <v>0</v>
      </c>
      <c r="V42" s="66">
        <f>IF(W35="",0,IF(V37="A",0,IF(OR(V35="",W35=""),0,IF(OR(V37="S",W37="S"),0,IF(V36="L",V38/4*VLOOKUP(V35,Data!$B$32:$AH$57,$C$58-1,FALSE),V38/4*VLOOKUP(V35,Data!$B$6:$AH$86,$C$58-1,FALSE))))))*(1-$I$9)</f>
        <v>0</v>
      </c>
      <c r="W42" s="66">
        <f>IF(X35="",0,IF(W37="A",0,IF(OR(W35="",X35=""),0,IF(OR(W37="S",X37="S"),0,IF(W36="L",W38/4*VLOOKUP(W35,Data!$B$32:$AH$57,$C$58-1,FALSE),W38/4*VLOOKUP(W35,Data!$B$6:$AH$86,$C$58-1,FALSE))))))*(1-$I$9)</f>
        <v>0</v>
      </c>
      <c r="X42" s="66">
        <f>IF(Y35="",0,IF(X37="A",0,IF(OR(X35="",Y35=""),0,IF(OR(X37="S",Y37="S"),0,IF(X36="L",X38/4*VLOOKUP(X35,Data!$B$32:$AH$57,$C$58-1,FALSE),X38/4*VLOOKUP(X35,Data!$B$6:$AH$86,$C$58-1,FALSE))))))*(1-$I$9)</f>
        <v>0</v>
      </c>
      <c r="Y42" s="66">
        <f>IF(Z35="",0,IF(Y37="A",0,IF(OR(Y35="",Z35=""),0,IF(OR(Y37="S",Z37="S"),0,IF(Y36="L",Y38/4*VLOOKUP(Y35,Data!$B$32:$AH$57,$C$58-1,FALSE),Y38/4*VLOOKUP(Y35,Data!$B$6:$AH$86,$C$58-1,FALSE))))))*(1-$I$9)</f>
        <v>0</v>
      </c>
      <c r="Z42" s="66">
        <f>IF(AA35="",0,IF(Z37="A",0,IF(OR(Z35="",AA35=""),0,IF(OR(Z37="S",AA37="S"),0,IF(Z36="L",Z38/4*VLOOKUP(Z35,Data!$B$32:$AH$57,$C$58-1,FALSE),Z38/4*VLOOKUP(Z35,Data!$B$6:$AH$86,$C$58-1,FALSE))))))*(1-$I$9)</f>
        <v>0</v>
      </c>
      <c r="AA42" s="66">
        <f>IF(AB35="",0,IF(AA37="A",0,IF(OR(AA35="",AB35=""),0,IF(OR(AA37="S",AB37="S"),0,IF(AA36="L",AA38/4*VLOOKUP(AA35,Data!$B$32:$AH$57,$C$58-1,FALSE),AA38/4*VLOOKUP(AA35,Data!$B$6:$AH$86,$C$58-1,FALSE))))))*(1-$I$9)</f>
        <v>0</v>
      </c>
      <c r="AB42" s="66">
        <f>IF(AC35="",0,IF(AB37="A",0,IF(OR(AB35="",AC35=""),0,IF(OR(AB37="S",AC37="S"),0,IF(AB36="L",AB38/4*VLOOKUP(AB35,Data!$B$32:$AH$57,$C$58-1,FALSE),AB38/4*VLOOKUP(AB35,Data!$B$6:$AH$86,$C$58-1,FALSE))))))*(1-$I$9)</f>
        <v>0</v>
      </c>
      <c r="AC42" s="66">
        <f>IF(AD35="",0,IF(AC37="A",0,IF(OR(AC35="",AD35=""),0,IF(OR(AC37="S",AD37="S"),0,IF(AC36="L",AC38/4*VLOOKUP(AC35,Data!$B$32:$AH$57,$C$58-1,FALSE),AC38/4*VLOOKUP(AC35,Data!$B$6:$AH$86,$C$58-1,FALSE))))))*(1-$I$9)</f>
        <v>0</v>
      </c>
      <c r="AD42" s="66">
        <f>IF(AE35="",0,IF(AD37="A",0,IF(OR(AD35="",AE35=""),0,IF(OR(AD37="S",AE37="S"),0,IF(AD36="L",AD38/4*VLOOKUP(AD35,Data!$B$32:$AH$57,$C$58-1,FALSE),AD38/4*VLOOKUP(AD35,Data!$B$6:$AH$86,$C$58-1,FALSE))))))*(1-$I$9)</f>
        <v>0</v>
      </c>
      <c r="AE42" s="66">
        <f>IF(AF35="",0,IF(AE37="A",0,IF(OR(AE35="",AF35=""),0,IF(OR(AE37="S",AF37="S"),0,IF(AE36="L",AE38/4*VLOOKUP(AE35,Data!$B$32:$AH$57,$C$58-1,FALSE),AE38/4*VLOOKUP(AE35,Data!$B$6:$AH$86,$C$58-1,FALSE))))))*(1-$I$9)</f>
        <v>0</v>
      </c>
      <c r="AF42" s="66">
        <f>IF(AG35="",0,IF(AF37="A",0,IF(OR(AF35="",AG35=""),0,IF(OR(AF37="S",AG37="S"),0,IF(AF36="L",AF38/4*VLOOKUP(AF35,Data!$B$32:$AH$57,$C$58-1,FALSE),AF38/4*VLOOKUP(AF35,Data!$B$6:$AH$86,$C$58-1,FALSE))))))*(1-$I$9)</f>
        <v>0</v>
      </c>
      <c r="AG42" s="66">
        <f>IF(AH35="",0,IF(AG37="A",0,IF(OR(AG35="",AH35=""),0,IF(OR(AG37="S",AH37="S"),0,IF(AG36="L",AG38/4*VLOOKUP(AG35,Data!$B$32:$AH$57,$C$58-1,FALSE),AG38/4*VLOOKUP(AG35,Data!$B$6:$AH$86,$C$58-1,FALSE))))))*(1-$I$9)</f>
        <v>0</v>
      </c>
      <c r="AH42" s="179">
        <f>IF(AI35="",0,IF(AH37="A",0,IF(OR(AH35="",AI35=""),0,IF(OR(AH37="S",AI37="S"),0,IF(AH36="L",AH38/4*VLOOKUP(AH35,Data!$B$32:$AH$57,$C$58-1,FALSE),AH38/4*VLOOKUP(AH35,Data!$B$6:$AH$86,$C$58-1,FALSE))))))*(1-$I$9)</f>
        <v>0</v>
      </c>
      <c r="AI42" s="159"/>
      <c r="AJ42" s="160"/>
      <c r="AK42" s="158"/>
    </row>
    <row r="43" spans="2:79" s="128" customFormat="1" ht="14.25" thickBot="1">
      <c r="B43" s="128" t="s">
        <v>149</v>
      </c>
      <c r="C43" s="127" t="s">
        <v>145</v>
      </c>
      <c r="D43" s="33"/>
      <c r="E43" s="172">
        <f aca="true" t="shared" si="14" ref="E43:AH43">SUM(E40:E42)</f>
        <v>3.04</v>
      </c>
      <c r="F43" s="172">
        <f t="shared" si="14"/>
        <v>4.24</v>
      </c>
      <c r="G43" s="172">
        <f t="shared" si="14"/>
        <v>4.279999999999999</v>
      </c>
      <c r="H43" s="172">
        <f t="shared" si="14"/>
        <v>4.16</v>
      </c>
      <c r="I43" s="172">
        <f t="shared" si="14"/>
        <v>4</v>
      </c>
      <c r="J43" s="172">
        <f t="shared" si="14"/>
        <v>3.4800000000000004</v>
      </c>
      <c r="K43" s="172">
        <f t="shared" si="14"/>
        <v>6</v>
      </c>
      <c r="L43" s="172">
        <f t="shared" si="14"/>
        <v>2.6</v>
      </c>
      <c r="M43" s="172">
        <f t="shared" si="14"/>
        <v>3.36</v>
      </c>
      <c r="N43" s="172">
        <f t="shared" si="14"/>
        <v>0</v>
      </c>
      <c r="O43" s="172">
        <f t="shared" si="14"/>
        <v>0</v>
      </c>
      <c r="P43" s="172">
        <f t="shared" si="14"/>
        <v>0</v>
      </c>
      <c r="Q43" s="172">
        <f t="shared" si="14"/>
        <v>0</v>
      </c>
      <c r="R43" s="172">
        <f t="shared" si="14"/>
        <v>0</v>
      </c>
      <c r="S43" s="172">
        <f t="shared" si="14"/>
        <v>0</v>
      </c>
      <c r="T43" s="172">
        <f t="shared" si="14"/>
        <v>0</v>
      </c>
      <c r="U43" s="172">
        <f t="shared" si="14"/>
        <v>0</v>
      </c>
      <c r="V43" s="172">
        <f t="shared" si="14"/>
        <v>0</v>
      </c>
      <c r="W43" s="172">
        <f t="shared" si="14"/>
        <v>0</v>
      </c>
      <c r="X43" s="172">
        <f t="shared" si="14"/>
        <v>0</v>
      </c>
      <c r="Y43" s="172">
        <f t="shared" si="14"/>
        <v>0</v>
      </c>
      <c r="Z43" s="172">
        <f t="shared" si="14"/>
        <v>0</v>
      </c>
      <c r="AA43" s="172">
        <f t="shared" si="14"/>
        <v>0</v>
      </c>
      <c r="AB43" s="172">
        <f t="shared" si="14"/>
        <v>0</v>
      </c>
      <c r="AC43" s="172">
        <f t="shared" si="14"/>
        <v>0</v>
      </c>
      <c r="AD43" s="172">
        <f t="shared" si="14"/>
        <v>0</v>
      </c>
      <c r="AE43" s="172">
        <f t="shared" si="14"/>
        <v>0</v>
      </c>
      <c r="AF43" s="172">
        <f t="shared" si="14"/>
        <v>0</v>
      </c>
      <c r="AG43" s="172">
        <f t="shared" si="14"/>
        <v>0</v>
      </c>
      <c r="AH43" s="172">
        <f t="shared" si="14"/>
        <v>0</v>
      </c>
      <c r="AI43" s="38"/>
      <c r="AJ43" s="13"/>
      <c r="AK43" s="129"/>
      <c r="AL43" s="43"/>
      <c r="AM43" s="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row>
    <row r="44" spans="2:39" ht="15">
      <c r="B44" s="43" t="s">
        <v>86</v>
      </c>
      <c r="C44" s="193">
        <f>AK44*AL44</f>
        <v>0</v>
      </c>
      <c r="D44" s="192"/>
      <c r="E44" s="247">
        <f>SUM(E43:AH43)</f>
        <v>35.160000000000004</v>
      </c>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194">
        <f>AK44*AL44</f>
        <v>0</v>
      </c>
      <c r="AJ44" s="10"/>
      <c r="AK44" s="34">
        <f>IF(R$7&gt;0,(R$7-E$44)/2,"")</f>
        <v>12.419999999999998</v>
      </c>
      <c r="AL44">
        <f>IF(AK44=MIN(AK$22,AK$33,AK$44),1,0)</f>
        <v>0</v>
      </c>
      <c r="AM44" s="9"/>
    </row>
    <row r="45" spans="2:39" ht="3" customHeight="1" thickBot="1">
      <c r="B45" s="12"/>
      <c r="C45" s="39"/>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1"/>
      <c r="AJ45" s="10"/>
      <c r="AK45" s="37"/>
      <c r="AL45" s="9"/>
      <c r="AM45" s="9"/>
    </row>
    <row r="46" spans="2:39" ht="15">
      <c r="B46" s="9"/>
      <c r="C46" s="10"/>
      <c r="D46" s="10"/>
      <c r="E46" s="13">
        <v>1</v>
      </c>
      <c r="F46" s="13">
        <v>2</v>
      </c>
      <c r="G46" s="13">
        <v>3</v>
      </c>
      <c r="H46" s="13">
        <v>4</v>
      </c>
      <c r="I46" s="13">
        <v>5</v>
      </c>
      <c r="J46" s="13">
        <v>6</v>
      </c>
      <c r="K46" s="13">
        <v>7</v>
      </c>
      <c r="L46" s="13">
        <v>8</v>
      </c>
      <c r="M46" s="13">
        <v>9</v>
      </c>
      <c r="N46" s="13">
        <v>10</v>
      </c>
      <c r="O46" s="13">
        <v>11</v>
      </c>
      <c r="P46" s="13">
        <v>12</v>
      </c>
      <c r="Q46" s="13">
        <v>13</v>
      </c>
      <c r="R46" s="13">
        <v>14</v>
      </c>
      <c r="S46" s="13">
        <v>15</v>
      </c>
      <c r="T46" s="13">
        <v>16</v>
      </c>
      <c r="U46" s="13">
        <v>17</v>
      </c>
      <c r="V46" s="13">
        <v>18</v>
      </c>
      <c r="W46" s="13">
        <v>19</v>
      </c>
      <c r="X46" s="13">
        <v>20</v>
      </c>
      <c r="Y46" s="13">
        <v>21</v>
      </c>
      <c r="Z46" s="13">
        <v>22</v>
      </c>
      <c r="AA46" s="13">
        <v>23</v>
      </c>
      <c r="AB46" s="13">
        <v>24</v>
      </c>
      <c r="AC46" s="13">
        <v>25</v>
      </c>
      <c r="AD46" s="13">
        <v>26</v>
      </c>
      <c r="AE46" s="13">
        <v>27</v>
      </c>
      <c r="AF46" s="13">
        <v>28</v>
      </c>
      <c r="AG46" s="13">
        <v>29</v>
      </c>
      <c r="AH46" s="13">
        <v>30</v>
      </c>
      <c r="AI46" s="10"/>
      <c r="AJ46" s="10"/>
      <c r="AK46" s="10"/>
      <c r="AL46" s="9"/>
      <c r="AM46" s="9"/>
    </row>
    <row r="47" spans="2:49" ht="8.25" customHeight="1">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9"/>
      <c r="AM47" s="9"/>
      <c r="AW47" t="s">
        <v>87</v>
      </c>
    </row>
    <row r="48" spans="2:39" ht="27.75" customHeight="1">
      <c r="B48" s="9"/>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9"/>
      <c r="AM48" s="9"/>
    </row>
    <row r="49" spans="2:39" ht="15">
      <c r="B49" s="233" t="s">
        <v>105</v>
      </c>
      <c r="C49" s="233"/>
      <c r="D49" s="23"/>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9"/>
      <c r="AM49" s="9"/>
    </row>
    <row r="50" spans="2:39" ht="15">
      <c r="B50" s="11" t="s">
        <v>2</v>
      </c>
      <c r="C50" s="90">
        <v>5</v>
      </c>
      <c r="D50" s="1"/>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9"/>
      <c r="AM50" s="9"/>
    </row>
    <row r="51" spans="2:46" ht="15">
      <c r="B51" s="11" t="s">
        <v>3</v>
      </c>
      <c r="C51" s="90">
        <v>9</v>
      </c>
      <c r="D51" s="1"/>
      <c r="F51" s="10"/>
      <c r="G51" s="10"/>
      <c r="H51" s="10"/>
      <c r="I51" s="10"/>
      <c r="J51" s="10"/>
      <c r="K51" s="10"/>
      <c r="L51" s="234"/>
      <c r="M51" s="234"/>
      <c r="N51" s="234"/>
      <c r="O51" s="234"/>
      <c r="P51" s="10"/>
      <c r="Q51" s="10"/>
      <c r="R51" s="10"/>
      <c r="S51" s="10"/>
      <c r="T51" s="10"/>
      <c r="U51" s="10"/>
      <c r="V51" s="10"/>
      <c r="W51" s="10"/>
      <c r="X51" s="10"/>
      <c r="Y51" s="10"/>
      <c r="Z51" s="10"/>
      <c r="AA51" s="10"/>
      <c r="AB51" s="10"/>
      <c r="AC51" s="10"/>
      <c r="AD51" s="10"/>
      <c r="AE51" s="10"/>
      <c r="AF51" s="10"/>
      <c r="AG51" s="10"/>
      <c r="AH51" s="10"/>
      <c r="AI51" s="10"/>
      <c r="AJ51" s="10"/>
      <c r="AK51" s="10"/>
      <c r="AL51" s="9"/>
      <c r="AM51" s="9"/>
      <c r="AT51" t="s">
        <v>87</v>
      </c>
    </row>
    <row r="52" spans="2:39" ht="15">
      <c r="B52" s="11" t="s">
        <v>4</v>
      </c>
      <c r="C52" s="90">
        <v>13</v>
      </c>
      <c r="D52" s="1"/>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9"/>
      <c r="AM52" s="9"/>
    </row>
    <row r="53" spans="2:39" ht="15">
      <c r="B53" s="11" t="s">
        <v>5</v>
      </c>
      <c r="C53" s="90">
        <v>17</v>
      </c>
      <c r="D53" s="1"/>
      <c r="F53" s="10"/>
      <c r="G53" s="10"/>
      <c r="H53" s="10"/>
      <c r="I53" s="10"/>
      <c r="J53" s="10"/>
      <c r="K53" s="10"/>
      <c r="L53" s="10"/>
      <c r="M53" s="10"/>
      <c r="N53" s="10"/>
      <c r="O53" s="10"/>
      <c r="P53" s="10"/>
      <c r="Q53" s="10"/>
      <c r="R53" s="10"/>
      <c r="S53" s="10"/>
      <c r="T53" s="10" t="s">
        <v>87</v>
      </c>
      <c r="U53" s="10"/>
      <c r="V53" s="10"/>
      <c r="W53" s="10"/>
      <c r="X53" s="10"/>
      <c r="Y53" s="10"/>
      <c r="Z53" s="10"/>
      <c r="AA53" s="10"/>
      <c r="AB53" s="10"/>
      <c r="AC53" s="10"/>
      <c r="AD53" s="10"/>
      <c r="AE53" s="10"/>
      <c r="AF53" s="10"/>
      <c r="AG53" s="10"/>
      <c r="AH53" s="10"/>
      <c r="AI53" s="10"/>
      <c r="AJ53" s="10"/>
      <c r="AK53" s="10"/>
      <c r="AL53" s="9"/>
      <c r="AM53" s="9"/>
    </row>
    <row r="54" spans="2:39" ht="15">
      <c r="B54" s="11" t="s">
        <v>83</v>
      </c>
      <c r="C54" s="90">
        <v>21</v>
      </c>
      <c r="D54" s="1"/>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9"/>
      <c r="AM54" s="9"/>
    </row>
    <row r="55" spans="2:39" ht="15">
      <c r="B55" s="11" t="s">
        <v>6</v>
      </c>
      <c r="C55" s="90">
        <v>25</v>
      </c>
      <c r="D55" s="1"/>
      <c r="F55" s="10"/>
      <c r="G55" s="10"/>
      <c r="H55" s="10"/>
      <c r="I55" s="10"/>
      <c r="J55" s="10"/>
      <c r="K55" s="10"/>
      <c r="L55" s="10"/>
      <c r="M55" s="10"/>
      <c r="N55" s="10"/>
      <c r="O55" s="235"/>
      <c r="P55" s="235"/>
      <c r="Q55" s="235"/>
      <c r="R55" s="235"/>
      <c r="S55" s="10"/>
      <c r="T55" s="10"/>
      <c r="U55" s="10"/>
      <c r="V55" s="10"/>
      <c r="W55" s="10"/>
      <c r="X55" s="10"/>
      <c r="Y55" s="10"/>
      <c r="Z55" s="10"/>
      <c r="AA55" s="10"/>
      <c r="AB55" s="10"/>
      <c r="AC55" s="10"/>
      <c r="AD55" s="10"/>
      <c r="AE55" s="10"/>
      <c r="AF55" s="10"/>
      <c r="AG55" s="10"/>
      <c r="AH55" s="10"/>
      <c r="AI55" s="10"/>
      <c r="AJ55" s="10"/>
      <c r="AK55" s="10"/>
      <c r="AL55" s="9"/>
      <c r="AM55" s="9"/>
    </row>
    <row r="56" spans="2:39" ht="15">
      <c r="B56" s="11" t="s">
        <v>23</v>
      </c>
      <c r="C56" s="90">
        <v>29</v>
      </c>
      <c r="D56" s="1"/>
      <c r="F56" s="10"/>
      <c r="G56" s="10"/>
      <c r="H56" s="10"/>
      <c r="I56" s="10"/>
      <c r="J56" s="10"/>
      <c r="K56" s="10"/>
      <c r="L56" s="10"/>
      <c r="M56" s="10"/>
      <c r="N56" s="10"/>
      <c r="O56" s="235"/>
      <c r="P56" s="235"/>
      <c r="Q56" s="235"/>
      <c r="R56" s="235"/>
      <c r="S56" s="10"/>
      <c r="T56" s="10"/>
      <c r="U56" s="10"/>
      <c r="V56" s="10"/>
      <c r="W56" s="10"/>
      <c r="X56" s="10"/>
      <c r="Y56" s="10"/>
      <c r="Z56" s="10"/>
      <c r="AA56" s="10"/>
      <c r="AB56" s="10"/>
      <c r="AC56" s="10"/>
      <c r="AD56" s="10"/>
      <c r="AE56" s="10"/>
      <c r="AF56" s="10"/>
      <c r="AG56" s="10"/>
      <c r="AH56" s="10"/>
      <c r="AI56" s="10"/>
      <c r="AJ56" s="10"/>
      <c r="AK56" s="10"/>
      <c r="AL56" s="9"/>
      <c r="AM56" s="9"/>
    </row>
    <row r="57" spans="2:39" ht="15">
      <c r="B57" s="11" t="s">
        <v>107</v>
      </c>
      <c r="C57" s="90">
        <v>33</v>
      </c>
      <c r="D57" s="10"/>
      <c r="E57" s="10"/>
      <c r="F57" s="10"/>
      <c r="G57" s="10"/>
      <c r="H57" s="10"/>
      <c r="I57" s="10" t="s">
        <v>87</v>
      </c>
      <c r="J57" s="10"/>
      <c r="K57" s="10"/>
      <c r="L57" s="10"/>
      <c r="M57" s="10"/>
      <c r="N57" s="10"/>
      <c r="O57" s="10"/>
      <c r="P57" s="235"/>
      <c r="Q57" s="235"/>
      <c r="R57" s="235"/>
      <c r="S57" s="235"/>
      <c r="T57" s="235"/>
      <c r="U57" s="10"/>
      <c r="V57" s="10"/>
      <c r="W57" s="10"/>
      <c r="X57" s="10"/>
      <c r="Y57" s="10"/>
      <c r="Z57" s="10"/>
      <c r="AA57" s="10"/>
      <c r="AB57" s="10"/>
      <c r="AC57" s="10"/>
      <c r="AD57" s="10"/>
      <c r="AE57" s="10"/>
      <c r="AF57" s="10"/>
      <c r="AG57" s="10"/>
      <c r="AH57" s="10"/>
      <c r="AI57" s="10"/>
      <c r="AJ57" s="10"/>
      <c r="AK57" s="10"/>
      <c r="AL57" s="9"/>
      <c r="AM57" s="9"/>
    </row>
    <row r="58" spans="2:43" ht="15">
      <c r="B58" s="22" t="s">
        <v>84</v>
      </c>
      <c r="C58" s="91">
        <f>LOOKUP(C60,B50:B57,C50:C57)</f>
        <v>29</v>
      </c>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9"/>
      <c r="AM58" s="9"/>
      <c r="AQ58" t="s">
        <v>87</v>
      </c>
    </row>
    <row r="59" spans="2:39" ht="15">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9"/>
      <c r="AM59" s="9"/>
    </row>
    <row r="60" spans="2:39" ht="15">
      <c r="B60" s="22" t="s">
        <v>106</v>
      </c>
      <c r="C60" s="10" t="str">
        <f>IF(I5="5W","W",IF(I5="5WR","WR",I5))</f>
        <v>W</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9"/>
      <c r="AM60" s="9"/>
    </row>
    <row r="61" spans="2:39" ht="15">
      <c r="B61" s="9"/>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9"/>
      <c r="AM61" s="9"/>
    </row>
    <row r="62" spans="2:39" ht="1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t="s">
        <v>87</v>
      </c>
      <c r="AJ62" s="9"/>
      <c r="AK62" s="9"/>
      <c r="AL62" s="9"/>
      <c r="AM62" s="9"/>
    </row>
    <row r="63" spans="2:39" ht="1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row>
    <row r="64" spans="2:44" ht="1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R64" t="s">
        <v>87</v>
      </c>
    </row>
    <row r="65" spans="2:39" ht="1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row>
    <row r="66" spans="2:39" ht="1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row>
    <row r="67" spans="2:39" ht="1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2:39" ht="1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2:39" ht="1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2:39" ht="1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2:39" ht="1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row>
    <row r="72" spans="2:39" ht="1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row>
    <row r="73" spans="2:39" ht="1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row>
  </sheetData>
  <sheetProtection password="CD64" sheet="1"/>
  <mergeCells count="20">
    <mergeCell ref="P57:T57"/>
    <mergeCell ref="R4:S4"/>
    <mergeCell ref="R5:S5"/>
    <mergeCell ref="R6:S6"/>
    <mergeCell ref="R7:S7"/>
    <mergeCell ref="R8:S8"/>
    <mergeCell ref="O56:R56"/>
    <mergeCell ref="E22:AH22"/>
    <mergeCell ref="E33:AH33"/>
    <mergeCell ref="E44:AH44"/>
    <mergeCell ref="C2:AI2"/>
    <mergeCell ref="B49:C49"/>
    <mergeCell ref="L51:O51"/>
    <mergeCell ref="O55:R55"/>
    <mergeCell ref="I8:J8"/>
    <mergeCell ref="I4:J4"/>
    <mergeCell ref="I5:J5"/>
    <mergeCell ref="I6:J6"/>
    <mergeCell ref="I7:J7"/>
    <mergeCell ref="I9:J9"/>
  </mergeCells>
  <printOptions horizontalCentered="1"/>
  <pageMargins left="0.2" right="0.23" top="0.78" bottom="1" header="0.5" footer="0.5"/>
  <pageSetup fitToHeight="1" fitToWidth="1" horizontalDpi="600" verticalDpi="600" orientation="landscape"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Q91"/>
  <sheetViews>
    <sheetView showGridLines="0" zoomScale="75" zoomScaleNormal="75" zoomScalePageLayoutView="0" workbookViewId="0" topLeftCell="A3">
      <pane ySplit="3" topLeftCell="A6" activePane="bottomLeft" state="frozen"/>
      <selection pane="topLeft" activeCell="AQ4" sqref="AQ4"/>
      <selection pane="bottomLeft" activeCell="B3" sqref="B3:F3"/>
    </sheetView>
  </sheetViews>
  <sheetFormatPr defaultColWidth="9.140625" defaultRowHeight="12.75"/>
  <cols>
    <col min="1" max="1" width="1.28515625" style="0" customWidth="1"/>
    <col min="2" max="2" width="7.8515625" style="0" customWidth="1"/>
    <col min="3" max="6" width="5.8515625" style="0" customWidth="1"/>
    <col min="7" max="7" width="5.8515625" style="1" customWidth="1"/>
    <col min="8" max="22" width="5.8515625" style="0" customWidth="1"/>
    <col min="23" max="23" width="6.421875" style="0" customWidth="1"/>
    <col min="24" max="34" width="5.8515625" style="0" customWidth="1"/>
    <col min="35" max="35" width="0.9921875" style="0" customWidth="1"/>
    <col min="36" max="40" width="5.57421875" style="0" customWidth="1"/>
    <col min="41" max="41" width="5.8515625" style="0" customWidth="1"/>
    <col min="42" max="42" width="8.00390625" style="0" customWidth="1"/>
    <col min="43" max="43" width="8.421875" style="0" customWidth="1"/>
  </cols>
  <sheetData>
    <row r="2" spans="2:34" ht="12.75">
      <c r="B2" s="13">
        <v>1</v>
      </c>
      <c r="C2" s="13">
        <v>2</v>
      </c>
      <c r="D2" s="13">
        <v>3</v>
      </c>
      <c r="E2" s="13">
        <v>4</v>
      </c>
      <c r="F2" s="13">
        <v>5</v>
      </c>
      <c r="G2" s="13">
        <v>6</v>
      </c>
      <c r="H2" s="13">
        <v>7</v>
      </c>
      <c r="I2" s="13">
        <v>8</v>
      </c>
      <c r="J2" s="13">
        <v>9</v>
      </c>
      <c r="K2" s="13">
        <v>10</v>
      </c>
      <c r="L2" s="13">
        <v>11</v>
      </c>
      <c r="M2" s="13">
        <v>12</v>
      </c>
      <c r="N2" s="13">
        <v>13</v>
      </c>
      <c r="O2" s="13">
        <v>14</v>
      </c>
      <c r="P2" s="13">
        <v>15</v>
      </c>
      <c r="Q2" s="13">
        <v>16</v>
      </c>
      <c r="R2" s="13">
        <v>17</v>
      </c>
      <c r="S2" s="13">
        <v>18</v>
      </c>
      <c r="T2" s="13">
        <v>19</v>
      </c>
      <c r="U2" s="13">
        <v>20</v>
      </c>
      <c r="V2" s="13">
        <v>21</v>
      </c>
      <c r="W2" s="13">
        <v>22</v>
      </c>
      <c r="X2" s="13">
        <v>23</v>
      </c>
      <c r="Y2" s="13">
        <v>24</v>
      </c>
      <c r="Z2" s="13">
        <v>25</v>
      </c>
      <c r="AA2" s="13">
        <v>26</v>
      </c>
      <c r="AB2" s="13">
        <v>27</v>
      </c>
      <c r="AC2" s="13">
        <v>28</v>
      </c>
      <c r="AD2" s="13">
        <v>29</v>
      </c>
      <c r="AE2" s="13">
        <v>30</v>
      </c>
      <c r="AF2" s="13">
        <v>31</v>
      </c>
      <c r="AG2" s="13">
        <v>32</v>
      </c>
      <c r="AH2" s="13">
        <v>33</v>
      </c>
    </row>
    <row r="3" spans="2:43" ht="18.75">
      <c r="B3" s="254" t="s">
        <v>75</v>
      </c>
      <c r="C3" s="249"/>
      <c r="D3" s="249"/>
      <c r="E3" s="249"/>
      <c r="F3" s="250"/>
      <c r="G3" s="248" t="s">
        <v>78</v>
      </c>
      <c r="H3" s="249"/>
      <c r="I3" s="249"/>
      <c r="J3" s="250"/>
      <c r="K3" s="248" t="s">
        <v>79</v>
      </c>
      <c r="L3" s="249"/>
      <c r="M3" s="249"/>
      <c r="N3" s="250"/>
      <c r="O3" s="248" t="s">
        <v>80</v>
      </c>
      <c r="P3" s="249"/>
      <c r="Q3" s="249"/>
      <c r="R3" s="250"/>
      <c r="S3" s="248" t="s">
        <v>81</v>
      </c>
      <c r="T3" s="249"/>
      <c r="U3" s="249"/>
      <c r="V3" s="250"/>
      <c r="W3" s="248" t="s">
        <v>82</v>
      </c>
      <c r="X3" s="249"/>
      <c r="Y3" s="249"/>
      <c r="Z3" s="250"/>
      <c r="AA3" s="248" t="s">
        <v>101</v>
      </c>
      <c r="AB3" s="249"/>
      <c r="AC3" s="249"/>
      <c r="AD3" s="250"/>
      <c r="AE3" s="248" t="s">
        <v>102</v>
      </c>
      <c r="AF3" s="249"/>
      <c r="AG3" s="249"/>
      <c r="AH3" s="250"/>
      <c r="AJ3" s="2" t="s">
        <v>95</v>
      </c>
      <c r="AK3" s="2" t="s">
        <v>96</v>
      </c>
      <c r="AL3" s="2" t="s">
        <v>97</v>
      </c>
      <c r="AM3" s="2" t="s">
        <v>98</v>
      </c>
      <c r="AN3" s="2" t="s">
        <v>99</v>
      </c>
      <c r="AO3" s="2" t="s">
        <v>91</v>
      </c>
      <c r="AP3" s="2" t="s">
        <v>103</v>
      </c>
      <c r="AQ3" s="2" t="s">
        <v>104</v>
      </c>
    </row>
    <row r="4" spans="2:34" ht="12.75">
      <c r="B4" s="6"/>
      <c r="C4" s="252" t="s">
        <v>65</v>
      </c>
      <c r="D4" s="252"/>
      <c r="E4" s="252"/>
      <c r="F4" s="253"/>
      <c r="G4" s="251" t="s">
        <v>65</v>
      </c>
      <c r="H4" s="252"/>
      <c r="I4" s="252"/>
      <c r="J4" s="253"/>
      <c r="K4" s="251" t="s">
        <v>65</v>
      </c>
      <c r="L4" s="252"/>
      <c r="M4" s="252"/>
      <c r="N4" s="253"/>
      <c r="O4" s="251" t="s">
        <v>65</v>
      </c>
      <c r="P4" s="252"/>
      <c r="Q4" s="252"/>
      <c r="R4" s="253"/>
      <c r="S4" s="251" t="s">
        <v>65</v>
      </c>
      <c r="T4" s="252"/>
      <c r="U4" s="252"/>
      <c r="V4" s="253"/>
      <c r="W4" s="251" t="s">
        <v>65</v>
      </c>
      <c r="X4" s="252"/>
      <c r="Y4" s="252"/>
      <c r="Z4" s="253"/>
      <c r="AA4" s="251" t="s">
        <v>65</v>
      </c>
      <c r="AB4" s="252"/>
      <c r="AC4" s="252"/>
      <c r="AD4" s="253"/>
      <c r="AE4" s="251" t="s">
        <v>65</v>
      </c>
      <c r="AF4" s="252"/>
      <c r="AG4" s="252"/>
      <c r="AH4" s="253"/>
    </row>
    <row r="5" spans="2:34" ht="12.75">
      <c r="B5" s="5" t="s">
        <v>85</v>
      </c>
      <c r="C5" s="8" t="s">
        <v>66</v>
      </c>
      <c r="D5" s="3" t="s">
        <v>64</v>
      </c>
      <c r="E5" s="3" t="s">
        <v>67</v>
      </c>
      <c r="F5" s="7" t="s">
        <v>74</v>
      </c>
      <c r="G5" s="3" t="s">
        <v>66</v>
      </c>
      <c r="H5" s="3" t="s">
        <v>64</v>
      </c>
      <c r="I5" s="3" t="s">
        <v>67</v>
      </c>
      <c r="J5" s="7" t="s">
        <v>74</v>
      </c>
      <c r="K5" s="3" t="s">
        <v>66</v>
      </c>
      <c r="L5" s="3" t="s">
        <v>64</v>
      </c>
      <c r="M5" s="3" t="s">
        <v>67</v>
      </c>
      <c r="N5" s="7" t="s">
        <v>74</v>
      </c>
      <c r="O5" s="3" t="s">
        <v>66</v>
      </c>
      <c r="P5" s="3" t="s">
        <v>64</v>
      </c>
      <c r="Q5" s="3" t="s">
        <v>67</v>
      </c>
      <c r="R5" s="7" t="s">
        <v>74</v>
      </c>
      <c r="S5" s="3" t="s">
        <v>66</v>
      </c>
      <c r="T5" s="3" t="s">
        <v>64</v>
      </c>
      <c r="U5" s="3" t="s">
        <v>67</v>
      </c>
      <c r="V5" s="7" t="s">
        <v>74</v>
      </c>
      <c r="W5" s="3" t="s">
        <v>66</v>
      </c>
      <c r="X5" s="3" t="s">
        <v>64</v>
      </c>
      <c r="Y5" s="3" t="s">
        <v>67</v>
      </c>
      <c r="Z5" s="7" t="s">
        <v>74</v>
      </c>
      <c r="AA5" s="3" t="s">
        <v>66</v>
      </c>
      <c r="AB5" s="3" t="s">
        <v>64</v>
      </c>
      <c r="AC5" s="3" t="s">
        <v>67</v>
      </c>
      <c r="AD5" s="7" t="s">
        <v>74</v>
      </c>
      <c r="AE5" s="3" t="s">
        <v>66</v>
      </c>
      <c r="AF5" s="3" t="s">
        <v>64</v>
      </c>
      <c r="AG5" s="3" t="s">
        <v>67</v>
      </c>
      <c r="AH5" s="7" t="s">
        <v>74</v>
      </c>
    </row>
    <row r="6" spans="2:43" ht="12.75">
      <c r="B6" s="4" t="s">
        <v>0</v>
      </c>
      <c r="C6" s="24">
        <v>0.12</v>
      </c>
      <c r="D6" s="24">
        <v>2.161</v>
      </c>
      <c r="E6" s="25">
        <v>0.12</v>
      </c>
      <c r="F6" s="24">
        <f>SUM(C6:E6)</f>
        <v>2.4010000000000002</v>
      </c>
      <c r="G6" s="30">
        <v>0.12</v>
      </c>
      <c r="H6" s="30">
        <v>2.561</v>
      </c>
      <c r="I6" s="30">
        <v>0.12</v>
      </c>
      <c r="J6" s="24">
        <f>SUM(G6:I6)</f>
        <v>2.801</v>
      </c>
      <c r="K6" s="24">
        <v>0.12</v>
      </c>
      <c r="L6" s="24">
        <v>3.402</v>
      </c>
      <c r="M6" s="24">
        <v>0.12</v>
      </c>
      <c r="N6" s="24">
        <f>SUM(K6:M6)</f>
        <v>3.6420000000000003</v>
      </c>
      <c r="O6" s="24">
        <v>0.16</v>
      </c>
      <c r="P6" s="30">
        <v>4.083</v>
      </c>
      <c r="Q6" s="30">
        <v>0.16</v>
      </c>
      <c r="R6" s="24">
        <f>SUM(O6:Q6)</f>
        <v>4.4030000000000005</v>
      </c>
      <c r="S6" s="24">
        <v>0.16</v>
      </c>
      <c r="T6" s="24">
        <v>4.043</v>
      </c>
      <c r="U6" s="24">
        <v>0.16</v>
      </c>
      <c r="V6" s="24">
        <f>SUM(S6:U6)</f>
        <v>4.363</v>
      </c>
      <c r="W6" s="24">
        <v>0.16</v>
      </c>
      <c r="X6" s="30">
        <v>4.563</v>
      </c>
      <c r="Y6" s="30">
        <v>0.16</v>
      </c>
      <c r="Z6" s="24">
        <f>SUM(W6:Y6)</f>
        <v>4.883</v>
      </c>
      <c r="AA6" s="70">
        <v>0.36</v>
      </c>
      <c r="AB6" s="71">
        <v>3.76</v>
      </c>
      <c r="AC6" s="83">
        <v>0.36</v>
      </c>
      <c r="AD6" s="68">
        <f>SUM(AA6:AC6)</f>
        <v>4.48</v>
      </c>
      <c r="AE6" s="87">
        <v>0.24</v>
      </c>
      <c r="AF6" s="71">
        <v>3.76</v>
      </c>
      <c r="AG6" s="71">
        <v>0.24</v>
      </c>
      <c r="AH6" s="68">
        <f>SUM(AE6:AG6)</f>
        <v>4.24</v>
      </c>
      <c r="AJ6" s="44">
        <f aca="true" t="shared" si="0" ref="AJ6:AJ37">(J6-F6)/F6</f>
        <v>0.16659725114535603</v>
      </c>
      <c r="AK6" s="44">
        <f aca="true" t="shared" si="1" ref="AK6:AK37">(N6-J6)/J6</f>
        <v>0.30024991074616214</v>
      </c>
      <c r="AL6" s="44">
        <f aca="true" t="shared" si="2" ref="AL6:AL37">(R6-N6)/N6</f>
        <v>0.20895112575507965</v>
      </c>
      <c r="AM6" s="44">
        <f aca="true" t="shared" si="3" ref="AM6:AM37">(V6-R6)/R6</f>
        <v>-0.009084714967067916</v>
      </c>
      <c r="AN6" s="44">
        <f aca="true" t="shared" si="4" ref="AN6:AN37">(Z6-V6)/V6</f>
        <v>0.11918404767361895</v>
      </c>
      <c r="AO6" s="44">
        <f>(Z6-R6)/R6</f>
        <v>0.10901657960481478</v>
      </c>
      <c r="AP6" s="69">
        <f>(AD6-V6)/V6</f>
        <v>0.026816410726564287</v>
      </c>
      <c r="AQ6" s="69">
        <f>(AH6-V6)/V6</f>
        <v>-0.02819161127664456</v>
      </c>
    </row>
    <row r="7" spans="2:43" ht="12.75">
      <c r="B7" s="14" t="s">
        <v>2</v>
      </c>
      <c r="C7" s="26">
        <v>0.44</v>
      </c>
      <c r="D7" s="26">
        <v>1.721</v>
      </c>
      <c r="E7" s="27">
        <v>0.2</v>
      </c>
      <c r="F7" s="26">
        <f aca="true" t="shared" si="5" ref="F7:F70">SUM(C7:E7)</f>
        <v>2.361</v>
      </c>
      <c r="G7" s="31">
        <v>0.44</v>
      </c>
      <c r="H7" s="31">
        <v>2.241</v>
      </c>
      <c r="I7" s="31">
        <v>0.24</v>
      </c>
      <c r="J7" s="26">
        <f aca="true" t="shared" si="6" ref="J7:J70">SUM(G7:I7)</f>
        <v>2.9210000000000003</v>
      </c>
      <c r="K7" s="26">
        <v>0.48</v>
      </c>
      <c r="L7" s="26">
        <v>2.723</v>
      </c>
      <c r="M7" s="26">
        <v>0.2</v>
      </c>
      <c r="N7" s="26">
        <f aca="true" t="shared" si="7" ref="N7:N70">SUM(K7:M7)</f>
        <v>3.403</v>
      </c>
      <c r="O7" s="26">
        <v>0.52</v>
      </c>
      <c r="P7" s="31">
        <v>3.242</v>
      </c>
      <c r="Q7" s="31">
        <v>0.28</v>
      </c>
      <c r="R7" s="26">
        <f aca="true" t="shared" si="8" ref="R7:R70">SUM(O7:Q7)</f>
        <v>4.042</v>
      </c>
      <c r="S7" s="26">
        <v>0.56</v>
      </c>
      <c r="T7" s="26">
        <v>3.242</v>
      </c>
      <c r="U7" s="26">
        <v>0.32</v>
      </c>
      <c r="V7" s="26">
        <f aca="true" t="shared" si="9" ref="V7:V70">SUM(S7:U7)</f>
        <v>4.122</v>
      </c>
      <c r="W7" s="26">
        <v>0.56</v>
      </c>
      <c r="X7" s="31">
        <v>3.762</v>
      </c>
      <c r="Y7" s="31">
        <v>0.4</v>
      </c>
      <c r="Z7" s="26">
        <f aca="true" t="shared" si="10" ref="Z7:Z70">SUM(W7:Y7)</f>
        <v>4.722</v>
      </c>
      <c r="AA7" s="72">
        <v>0.8</v>
      </c>
      <c r="AB7" s="73">
        <v>3.04</v>
      </c>
      <c r="AC7" s="84">
        <v>0.6</v>
      </c>
      <c r="AD7" s="74">
        <f aca="true" t="shared" si="11" ref="AD7:AD70">SUM(AA7:AC7)</f>
        <v>4.4399999999999995</v>
      </c>
      <c r="AE7" s="88">
        <v>0.68</v>
      </c>
      <c r="AF7" s="73">
        <v>3.04</v>
      </c>
      <c r="AG7" s="73">
        <v>0.48</v>
      </c>
      <c r="AH7" s="74">
        <f aca="true" t="shared" si="12" ref="AH7:AH70">SUM(AE7:AG7)</f>
        <v>4.2</v>
      </c>
      <c r="AJ7" s="44">
        <f t="shared" si="0"/>
        <v>0.23718763235916984</v>
      </c>
      <c r="AK7" s="44">
        <f t="shared" si="1"/>
        <v>0.16501198219787735</v>
      </c>
      <c r="AL7" s="44">
        <f t="shared" si="2"/>
        <v>0.1877754922127534</v>
      </c>
      <c r="AM7" s="44">
        <f t="shared" si="3"/>
        <v>0.01979218208807523</v>
      </c>
      <c r="AN7" s="44">
        <f t="shared" si="4"/>
        <v>0.14556040756914132</v>
      </c>
      <c r="AO7" s="44">
        <f aca="true" t="shared" si="13" ref="AO7:AO70">(Z7-R7)/R7</f>
        <v>0.16823354774863944</v>
      </c>
      <c r="AP7" s="69">
        <f aca="true" t="shared" si="14" ref="AP7:AP70">(AD7-V7)/V7</f>
        <v>0.07714701601164474</v>
      </c>
      <c r="AQ7" s="69">
        <f aca="true" t="shared" si="15" ref="AQ7:AQ70">(AH7-V7)/V7</f>
        <v>0.018922852983988426</v>
      </c>
    </row>
    <row r="8" spans="2:43" ht="12.75">
      <c r="B8" s="14" t="s">
        <v>3</v>
      </c>
      <c r="C8" s="26">
        <v>0.32</v>
      </c>
      <c r="D8" s="26">
        <v>1.721</v>
      </c>
      <c r="E8" s="27">
        <v>0.32</v>
      </c>
      <c r="F8" s="26">
        <f t="shared" si="5"/>
        <v>2.3609999999999998</v>
      </c>
      <c r="G8" s="31">
        <v>0.36</v>
      </c>
      <c r="H8" s="31">
        <v>2.241</v>
      </c>
      <c r="I8" s="31">
        <v>0.36</v>
      </c>
      <c r="J8" s="26">
        <f t="shared" si="6"/>
        <v>2.961</v>
      </c>
      <c r="K8" s="26">
        <v>0.4</v>
      </c>
      <c r="L8" s="26">
        <v>2.723</v>
      </c>
      <c r="M8" s="26">
        <v>0.4</v>
      </c>
      <c r="N8" s="26">
        <f t="shared" si="7"/>
        <v>3.5229999999999997</v>
      </c>
      <c r="O8" s="26">
        <v>0.4</v>
      </c>
      <c r="P8" s="31">
        <v>3.242</v>
      </c>
      <c r="Q8" s="31">
        <v>0.4</v>
      </c>
      <c r="R8" s="26">
        <f t="shared" si="8"/>
        <v>4.042</v>
      </c>
      <c r="S8" s="26">
        <v>0.4</v>
      </c>
      <c r="T8" s="26">
        <v>3.242</v>
      </c>
      <c r="U8" s="26">
        <v>0.32</v>
      </c>
      <c r="V8" s="26">
        <f t="shared" si="9"/>
        <v>3.9619999999999997</v>
      </c>
      <c r="W8" s="26">
        <v>0.4</v>
      </c>
      <c r="X8" s="31">
        <v>3.762</v>
      </c>
      <c r="Y8" s="31">
        <v>0.28</v>
      </c>
      <c r="Z8" s="26">
        <f t="shared" si="10"/>
        <v>4.442</v>
      </c>
      <c r="AA8" s="72">
        <v>0.64</v>
      </c>
      <c r="AB8" s="73">
        <v>3.28</v>
      </c>
      <c r="AC8" s="84">
        <v>0.44</v>
      </c>
      <c r="AD8" s="74">
        <f t="shared" si="11"/>
        <v>4.36</v>
      </c>
      <c r="AE8" s="88">
        <v>0.52</v>
      </c>
      <c r="AF8" s="73">
        <v>3.28</v>
      </c>
      <c r="AG8" s="73">
        <v>0.32</v>
      </c>
      <c r="AH8" s="74">
        <f t="shared" si="12"/>
        <v>4.12</v>
      </c>
      <c r="AJ8" s="44">
        <f t="shared" si="0"/>
        <v>0.2541296060991106</v>
      </c>
      <c r="AK8" s="44">
        <f t="shared" si="1"/>
        <v>0.18980074299223232</v>
      </c>
      <c r="AL8" s="44">
        <f t="shared" si="2"/>
        <v>0.14731762702242412</v>
      </c>
      <c r="AM8" s="44">
        <f t="shared" si="3"/>
        <v>-0.01979218208807523</v>
      </c>
      <c r="AN8" s="44">
        <f t="shared" si="4"/>
        <v>0.12115093387178204</v>
      </c>
      <c r="AO8" s="44">
        <f t="shared" si="13"/>
        <v>0.09896091044037614</v>
      </c>
      <c r="AP8" s="69">
        <f t="shared" si="14"/>
        <v>0.10045431600201933</v>
      </c>
      <c r="AQ8" s="69">
        <f t="shared" si="15"/>
        <v>0.03987884906612831</v>
      </c>
    </row>
    <row r="9" spans="2:43" ht="12.75">
      <c r="B9" s="14" t="s">
        <v>4</v>
      </c>
      <c r="C9" s="26">
        <v>0.44</v>
      </c>
      <c r="D9" s="26">
        <v>1.721</v>
      </c>
      <c r="E9" s="27">
        <v>0.32</v>
      </c>
      <c r="F9" s="26">
        <f t="shared" si="5"/>
        <v>2.481</v>
      </c>
      <c r="G9" s="31">
        <v>0.44</v>
      </c>
      <c r="H9" s="31">
        <v>2.241</v>
      </c>
      <c r="I9" s="31">
        <v>0.36</v>
      </c>
      <c r="J9" s="26">
        <f t="shared" si="6"/>
        <v>3.041</v>
      </c>
      <c r="K9" s="26">
        <v>0.48</v>
      </c>
      <c r="L9" s="26">
        <v>2.723</v>
      </c>
      <c r="M9" s="26">
        <v>0.4</v>
      </c>
      <c r="N9" s="26">
        <f t="shared" si="7"/>
        <v>3.6029999999999998</v>
      </c>
      <c r="O9" s="26">
        <v>0.52</v>
      </c>
      <c r="P9" s="31">
        <v>3.242</v>
      </c>
      <c r="Q9" s="31">
        <v>0.4</v>
      </c>
      <c r="R9" s="26">
        <f t="shared" si="8"/>
        <v>4.162</v>
      </c>
      <c r="S9" s="26">
        <v>0.56</v>
      </c>
      <c r="T9" s="26">
        <v>3.242</v>
      </c>
      <c r="U9" s="26">
        <v>0.4</v>
      </c>
      <c r="V9" s="26">
        <f t="shared" si="9"/>
        <v>4.202</v>
      </c>
      <c r="W9" s="26">
        <v>0.56</v>
      </c>
      <c r="X9" s="31">
        <v>3.762</v>
      </c>
      <c r="Y9" s="31">
        <v>0.4</v>
      </c>
      <c r="Z9" s="26">
        <f t="shared" si="10"/>
        <v>4.722</v>
      </c>
      <c r="AA9" s="72">
        <v>0.8</v>
      </c>
      <c r="AB9" s="73">
        <v>3.24</v>
      </c>
      <c r="AC9" s="84">
        <v>0.64</v>
      </c>
      <c r="AD9" s="74">
        <f t="shared" si="11"/>
        <v>4.68</v>
      </c>
      <c r="AE9" s="88">
        <v>0.68</v>
      </c>
      <c r="AF9" s="73">
        <v>3.24</v>
      </c>
      <c r="AG9" s="73">
        <v>0.52</v>
      </c>
      <c r="AH9" s="74">
        <f t="shared" si="12"/>
        <v>4.44</v>
      </c>
      <c r="AJ9" s="44">
        <f t="shared" si="0"/>
        <v>0.22571543732365984</v>
      </c>
      <c r="AK9" s="44">
        <f t="shared" si="1"/>
        <v>0.18480762906938503</v>
      </c>
      <c r="AL9" s="44">
        <f t="shared" si="2"/>
        <v>0.1551484873716348</v>
      </c>
      <c r="AM9" s="44">
        <f t="shared" si="3"/>
        <v>0.009610764055742441</v>
      </c>
      <c r="AN9" s="44">
        <f t="shared" si="4"/>
        <v>0.12375059495478355</v>
      </c>
      <c r="AO9" s="44">
        <f t="shared" si="13"/>
        <v>0.13455069678039416</v>
      </c>
      <c r="AP9" s="69">
        <f t="shared" si="14"/>
        <v>0.11375535459305088</v>
      </c>
      <c r="AQ9" s="69">
        <f t="shared" si="15"/>
        <v>0.05663969538315099</v>
      </c>
    </row>
    <row r="10" spans="2:43" ht="12.75">
      <c r="B10" s="14" t="s">
        <v>5</v>
      </c>
      <c r="C10" s="26">
        <v>0.44</v>
      </c>
      <c r="D10" s="26">
        <v>1.521</v>
      </c>
      <c r="E10" s="27">
        <v>0.2</v>
      </c>
      <c r="F10" s="26">
        <f t="shared" si="5"/>
        <v>2.161</v>
      </c>
      <c r="G10" s="31">
        <v>0.44</v>
      </c>
      <c r="H10" s="31">
        <v>2.041</v>
      </c>
      <c r="I10" s="31">
        <v>0.24</v>
      </c>
      <c r="J10" s="26">
        <f t="shared" si="6"/>
        <v>2.721</v>
      </c>
      <c r="K10" s="26">
        <v>0.48</v>
      </c>
      <c r="L10" s="26">
        <v>2.481</v>
      </c>
      <c r="M10" s="26">
        <v>0.2</v>
      </c>
      <c r="N10" s="26">
        <f t="shared" si="7"/>
        <v>3.161</v>
      </c>
      <c r="O10" s="26">
        <v>0.52</v>
      </c>
      <c r="P10" s="31">
        <v>3</v>
      </c>
      <c r="Q10" s="31">
        <v>0.28</v>
      </c>
      <c r="R10" s="26">
        <f t="shared" si="8"/>
        <v>3.8</v>
      </c>
      <c r="S10" s="26">
        <v>0.56</v>
      </c>
      <c r="T10" s="26">
        <v>2.962</v>
      </c>
      <c r="U10" s="26">
        <v>0.28</v>
      </c>
      <c r="V10" s="26">
        <f t="shared" si="9"/>
        <v>3.8020000000000005</v>
      </c>
      <c r="W10" s="26">
        <v>0.56</v>
      </c>
      <c r="X10" s="31">
        <v>3.242</v>
      </c>
      <c r="Y10" s="31">
        <v>0.4</v>
      </c>
      <c r="Z10" s="26">
        <f t="shared" si="10"/>
        <v>4.202</v>
      </c>
      <c r="AA10" s="72">
        <v>0.8</v>
      </c>
      <c r="AB10" s="73">
        <v>2.56</v>
      </c>
      <c r="AC10" s="84">
        <v>0.56</v>
      </c>
      <c r="AD10" s="74">
        <f t="shared" si="11"/>
        <v>3.9200000000000004</v>
      </c>
      <c r="AE10" s="88">
        <v>0.68</v>
      </c>
      <c r="AF10" s="73">
        <v>2.56</v>
      </c>
      <c r="AG10" s="73">
        <v>0.44</v>
      </c>
      <c r="AH10" s="74">
        <f t="shared" si="12"/>
        <v>3.68</v>
      </c>
      <c r="AJ10" s="44">
        <f t="shared" si="0"/>
        <v>0.25913928736695974</v>
      </c>
      <c r="AK10" s="44">
        <f t="shared" si="1"/>
        <v>0.16170525542080116</v>
      </c>
      <c r="AL10" s="44">
        <f t="shared" si="2"/>
        <v>0.20215121796899707</v>
      </c>
      <c r="AM10" s="44">
        <f t="shared" si="3"/>
        <v>0.00052631578947386</v>
      </c>
      <c r="AN10" s="44">
        <f t="shared" si="4"/>
        <v>0.10520778537611768</v>
      </c>
      <c r="AO10" s="44">
        <f t="shared" si="13"/>
        <v>0.10578947368421057</v>
      </c>
      <c r="AP10" s="69">
        <f t="shared" si="14"/>
        <v>0.031036296685954725</v>
      </c>
      <c r="AQ10" s="69">
        <f t="shared" si="15"/>
        <v>-0.032088374539716025</v>
      </c>
    </row>
    <row r="11" spans="2:43" ht="12.75">
      <c r="B11" s="14" t="s">
        <v>6</v>
      </c>
      <c r="C11" s="26">
        <v>0.44</v>
      </c>
      <c r="D11" s="26">
        <v>1.521</v>
      </c>
      <c r="E11" s="27">
        <v>0.12</v>
      </c>
      <c r="F11" s="26">
        <f t="shared" si="5"/>
        <v>2.081</v>
      </c>
      <c r="G11" s="31">
        <v>0.44</v>
      </c>
      <c r="H11" s="31">
        <v>2.041</v>
      </c>
      <c r="I11" s="31">
        <v>0.12</v>
      </c>
      <c r="J11" s="26">
        <f t="shared" si="6"/>
        <v>2.601</v>
      </c>
      <c r="K11" s="26">
        <v>0.48</v>
      </c>
      <c r="L11" s="26">
        <v>2.481</v>
      </c>
      <c r="M11" s="26">
        <v>0.12</v>
      </c>
      <c r="N11" s="26">
        <f t="shared" si="7"/>
        <v>3.081</v>
      </c>
      <c r="O11" s="26">
        <v>0.52</v>
      </c>
      <c r="P11" s="31">
        <v>3</v>
      </c>
      <c r="Q11" s="31">
        <v>0.16</v>
      </c>
      <c r="R11" s="26">
        <f t="shared" si="8"/>
        <v>3.68</v>
      </c>
      <c r="S11" s="26">
        <v>0.56</v>
      </c>
      <c r="T11" s="26">
        <v>2.962</v>
      </c>
      <c r="U11" s="26">
        <v>0.28</v>
      </c>
      <c r="V11" s="26">
        <f t="shared" si="9"/>
        <v>3.8020000000000005</v>
      </c>
      <c r="W11" s="26">
        <v>0.56</v>
      </c>
      <c r="X11" s="31">
        <v>3.242</v>
      </c>
      <c r="Y11" s="31">
        <v>0.4</v>
      </c>
      <c r="Z11" s="26">
        <f t="shared" si="10"/>
        <v>4.202</v>
      </c>
      <c r="AA11" s="72">
        <v>0.8</v>
      </c>
      <c r="AB11" s="73">
        <v>2.44</v>
      </c>
      <c r="AC11" s="84">
        <v>0.52</v>
      </c>
      <c r="AD11" s="74">
        <f t="shared" si="11"/>
        <v>3.7600000000000002</v>
      </c>
      <c r="AE11" s="88">
        <v>0.68</v>
      </c>
      <c r="AF11" s="73">
        <v>2.44</v>
      </c>
      <c r="AG11" s="73">
        <v>0.4</v>
      </c>
      <c r="AH11" s="74">
        <f t="shared" si="12"/>
        <v>3.52</v>
      </c>
      <c r="AJ11" s="44">
        <f t="shared" si="0"/>
        <v>0.24987986544930324</v>
      </c>
      <c r="AK11" s="44">
        <f t="shared" si="1"/>
        <v>0.1845444059976932</v>
      </c>
      <c r="AL11" s="44">
        <f t="shared" si="2"/>
        <v>0.1944173969490426</v>
      </c>
      <c r="AM11" s="44">
        <f t="shared" si="3"/>
        <v>0.033152173913043564</v>
      </c>
      <c r="AN11" s="44">
        <f t="shared" si="4"/>
        <v>0.10520778537611768</v>
      </c>
      <c r="AO11" s="44">
        <f t="shared" si="13"/>
        <v>0.14184782608695645</v>
      </c>
      <c r="AP11" s="69">
        <f t="shared" si="14"/>
        <v>-0.01104681746449244</v>
      </c>
      <c r="AQ11" s="69">
        <f t="shared" si="15"/>
        <v>-0.07417148869016318</v>
      </c>
    </row>
    <row r="12" spans="2:43" ht="12.75">
      <c r="B12" s="14" t="s">
        <v>7</v>
      </c>
      <c r="C12" s="26">
        <v>0.32</v>
      </c>
      <c r="D12" s="26">
        <v>1.721</v>
      </c>
      <c r="E12" s="27">
        <v>0.32</v>
      </c>
      <c r="F12" s="26">
        <f t="shared" si="5"/>
        <v>2.3609999999999998</v>
      </c>
      <c r="G12" s="31">
        <v>0.36</v>
      </c>
      <c r="H12" s="31">
        <v>2.241</v>
      </c>
      <c r="I12" s="31">
        <v>0.36</v>
      </c>
      <c r="J12" s="26">
        <f t="shared" si="6"/>
        <v>2.961</v>
      </c>
      <c r="K12" s="26">
        <v>0.4</v>
      </c>
      <c r="L12" s="26">
        <v>2.723</v>
      </c>
      <c r="M12" s="26">
        <v>0.4</v>
      </c>
      <c r="N12" s="26">
        <f t="shared" si="7"/>
        <v>3.5229999999999997</v>
      </c>
      <c r="O12" s="26">
        <v>0.4</v>
      </c>
      <c r="P12" s="31">
        <v>3.242</v>
      </c>
      <c r="Q12" s="31">
        <v>0.4</v>
      </c>
      <c r="R12" s="26">
        <f t="shared" si="8"/>
        <v>4.042</v>
      </c>
      <c r="S12" s="26">
        <v>0.4</v>
      </c>
      <c r="T12" s="26">
        <v>3.242</v>
      </c>
      <c r="U12" s="26">
        <v>0.4</v>
      </c>
      <c r="V12" s="26">
        <f t="shared" si="9"/>
        <v>4.042</v>
      </c>
      <c r="W12" s="26">
        <v>0.4</v>
      </c>
      <c r="X12" s="31">
        <v>3.762</v>
      </c>
      <c r="Y12" s="31">
        <v>0.4</v>
      </c>
      <c r="Z12" s="26">
        <f t="shared" si="10"/>
        <v>4.562</v>
      </c>
      <c r="AA12" s="72">
        <v>0.64</v>
      </c>
      <c r="AB12" s="73">
        <v>3.48</v>
      </c>
      <c r="AC12" s="84">
        <v>0.64</v>
      </c>
      <c r="AD12" s="74">
        <f t="shared" si="11"/>
        <v>4.76</v>
      </c>
      <c r="AE12" s="88">
        <v>0.52</v>
      </c>
      <c r="AF12" s="73">
        <v>3.48</v>
      </c>
      <c r="AG12" s="73">
        <v>0.52</v>
      </c>
      <c r="AH12" s="74">
        <f t="shared" si="12"/>
        <v>4.52</v>
      </c>
      <c r="AJ12" s="44">
        <f t="shared" si="0"/>
        <v>0.2541296060991106</v>
      </c>
      <c r="AK12" s="44">
        <f t="shared" si="1"/>
        <v>0.18980074299223232</v>
      </c>
      <c r="AL12" s="44">
        <f t="shared" si="2"/>
        <v>0.14731762702242412</v>
      </c>
      <c r="AM12" s="44">
        <f t="shared" si="3"/>
        <v>0</v>
      </c>
      <c r="AN12" s="44">
        <f t="shared" si="4"/>
        <v>0.12864918357248897</v>
      </c>
      <c r="AO12" s="44">
        <f t="shared" si="13"/>
        <v>0.12864918357248897</v>
      </c>
      <c r="AP12" s="69">
        <f t="shared" si="14"/>
        <v>0.17763483424047502</v>
      </c>
      <c r="AQ12" s="69">
        <f t="shared" si="15"/>
        <v>0.11825828797624932</v>
      </c>
    </row>
    <row r="13" spans="2:43" ht="12.75">
      <c r="B13" s="14" t="s">
        <v>8</v>
      </c>
      <c r="C13" s="26">
        <v>0.44</v>
      </c>
      <c r="D13" s="26">
        <v>1.721</v>
      </c>
      <c r="E13" s="27">
        <v>0.44</v>
      </c>
      <c r="F13" s="26">
        <f t="shared" si="5"/>
        <v>2.601</v>
      </c>
      <c r="G13" s="31">
        <v>0.44</v>
      </c>
      <c r="H13" s="31">
        <v>2.241</v>
      </c>
      <c r="I13" s="31">
        <v>0.44</v>
      </c>
      <c r="J13" s="26">
        <f t="shared" si="6"/>
        <v>3.121</v>
      </c>
      <c r="K13" s="26">
        <v>0.48</v>
      </c>
      <c r="L13" s="26">
        <v>2.723</v>
      </c>
      <c r="M13" s="26">
        <v>0.48</v>
      </c>
      <c r="N13" s="26">
        <f t="shared" si="7"/>
        <v>3.683</v>
      </c>
      <c r="O13" s="26">
        <v>0.52</v>
      </c>
      <c r="P13" s="31">
        <v>3.242</v>
      </c>
      <c r="Q13" s="31">
        <v>0.52</v>
      </c>
      <c r="R13" s="26">
        <f t="shared" si="8"/>
        <v>4.282</v>
      </c>
      <c r="S13" s="26">
        <v>0.56</v>
      </c>
      <c r="T13" s="26">
        <v>3.242</v>
      </c>
      <c r="U13" s="26">
        <v>0.56</v>
      </c>
      <c r="V13" s="26">
        <f t="shared" si="9"/>
        <v>4.362</v>
      </c>
      <c r="W13" s="26">
        <v>0.56</v>
      </c>
      <c r="X13" s="31">
        <v>3.762</v>
      </c>
      <c r="Y13" s="31">
        <v>0.56</v>
      </c>
      <c r="Z13" s="26">
        <f t="shared" si="10"/>
        <v>4.882</v>
      </c>
      <c r="AA13" s="72">
        <v>0.8</v>
      </c>
      <c r="AB13" s="73">
        <v>3.08</v>
      </c>
      <c r="AC13" s="84">
        <v>0.8</v>
      </c>
      <c r="AD13" s="74">
        <f t="shared" si="11"/>
        <v>4.68</v>
      </c>
      <c r="AE13" s="88">
        <v>0.8</v>
      </c>
      <c r="AF13" s="73">
        <v>3.08</v>
      </c>
      <c r="AG13" s="73">
        <v>0.8</v>
      </c>
      <c r="AH13" s="74">
        <f t="shared" si="12"/>
        <v>4.68</v>
      </c>
      <c r="AJ13" s="44">
        <f t="shared" si="0"/>
        <v>0.19992310649750097</v>
      </c>
      <c r="AK13" s="44">
        <f t="shared" si="1"/>
        <v>0.18007049022749114</v>
      </c>
      <c r="AL13" s="44">
        <f t="shared" si="2"/>
        <v>0.1626391528645127</v>
      </c>
      <c r="AM13" s="44">
        <f t="shared" si="3"/>
        <v>0.01868285847734705</v>
      </c>
      <c r="AN13" s="44">
        <f t="shared" si="4"/>
        <v>0.1192113709307656</v>
      </c>
      <c r="AO13" s="44">
        <f t="shared" si="13"/>
        <v>0.14012143858010268</v>
      </c>
      <c r="AP13" s="69">
        <f t="shared" si="14"/>
        <v>0.07290233837689125</v>
      </c>
      <c r="AQ13" s="69">
        <f t="shared" si="15"/>
        <v>0.07290233837689125</v>
      </c>
    </row>
    <row r="14" spans="2:43" ht="12.75">
      <c r="B14" s="14" t="s">
        <v>9</v>
      </c>
      <c r="C14" s="26">
        <v>0.44</v>
      </c>
      <c r="D14" s="26">
        <v>0.52</v>
      </c>
      <c r="E14" s="27">
        <v>0.44</v>
      </c>
      <c r="F14" s="26">
        <f t="shared" si="5"/>
        <v>1.4</v>
      </c>
      <c r="G14" s="31">
        <v>0.44</v>
      </c>
      <c r="H14" s="31">
        <v>0.56</v>
      </c>
      <c r="I14" s="31">
        <v>0.44</v>
      </c>
      <c r="J14" s="26">
        <f t="shared" si="6"/>
        <v>1.44</v>
      </c>
      <c r="K14" s="26">
        <v>0.48</v>
      </c>
      <c r="L14" s="26">
        <v>0.64</v>
      </c>
      <c r="M14" s="26">
        <v>0.48</v>
      </c>
      <c r="N14" s="26">
        <f t="shared" si="7"/>
        <v>1.6</v>
      </c>
      <c r="O14" s="26">
        <v>0.52</v>
      </c>
      <c r="P14" s="31">
        <v>0.72</v>
      </c>
      <c r="Q14" s="31">
        <v>0.52</v>
      </c>
      <c r="R14" s="26">
        <f t="shared" si="8"/>
        <v>1.76</v>
      </c>
      <c r="S14" s="26">
        <v>0.56</v>
      </c>
      <c r="T14" s="26">
        <v>0.8</v>
      </c>
      <c r="U14" s="26">
        <v>0.56</v>
      </c>
      <c r="V14" s="26">
        <f t="shared" si="9"/>
        <v>1.9200000000000002</v>
      </c>
      <c r="W14" s="26">
        <v>0.56</v>
      </c>
      <c r="X14" s="31">
        <v>0.76</v>
      </c>
      <c r="Y14" s="31">
        <v>0.56</v>
      </c>
      <c r="Z14" s="26">
        <f t="shared" si="10"/>
        <v>1.8800000000000001</v>
      </c>
      <c r="AA14" s="72">
        <v>0.8</v>
      </c>
      <c r="AB14" s="73">
        <v>0.8</v>
      </c>
      <c r="AC14" s="84">
        <v>0.8</v>
      </c>
      <c r="AD14" s="74">
        <f t="shared" si="11"/>
        <v>2.4000000000000004</v>
      </c>
      <c r="AE14" s="88">
        <v>0.68</v>
      </c>
      <c r="AF14" s="73">
        <v>0.8</v>
      </c>
      <c r="AG14" s="73">
        <v>0.68</v>
      </c>
      <c r="AH14" s="74">
        <f t="shared" si="12"/>
        <v>2.16</v>
      </c>
      <c r="AJ14" s="44">
        <f t="shared" si="0"/>
        <v>0.0285714285714286</v>
      </c>
      <c r="AK14" s="44">
        <f t="shared" si="1"/>
        <v>0.11111111111111122</v>
      </c>
      <c r="AL14" s="44">
        <f t="shared" si="2"/>
        <v>0.09999999999999995</v>
      </c>
      <c r="AM14" s="44">
        <f t="shared" si="3"/>
        <v>0.090909090909091</v>
      </c>
      <c r="AN14" s="44">
        <f t="shared" si="4"/>
        <v>-0.02083333333333335</v>
      </c>
      <c r="AO14" s="44">
        <f t="shared" si="13"/>
        <v>0.06818181818181825</v>
      </c>
      <c r="AP14" s="69">
        <f t="shared" si="14"/>
        <v>0.2500000000000001</v>
      </c>
      <c r="AQ14" s="69">
        <f t="shared" si="15"/>
        <v>0.12499999999999999</v>
      </c>
    </row>
    <row r="15" spans="2:43" ht="12.75">
      <c r="B15" s="14" t="s">
        <v>10</v>
      </c>
      <c r="C15" s="26">
        <v>0.12</v>
      </c>
      <c r="D15" s="26">
        <v>1.761</v>
      </c>
      <c r="E15" s="27">
        <v>0.44</v>
      </c>
      <c r="F15" s="26">
        <f t="shared" si="5"/>
        <v>2.3209999999999997</v>
      </c>
      <c r="G15" s="31">
        <v>0.12</v>
      </c>
      <c r="H15" s="31">
        <v>2.041</v>
      </c>
      <c r="I15" s="31">
        <v>0.44</v>
      </c>
      <c r="J15" s="26">
        <f t="shared" si="6"/>
        <v>2.601</v>
      </c>
      <c r="K15" s="26">
        <v>0.12</v>
      </c>
      <c r="L15" s="26">
        <v>2.561</v>
      </c>
      <c r="M15" s="26">
        <v>0.48</v>
      </c>
      <c r="N15" s="26">
        <f t="shared" si="7"/>
        <v>3.161</v>
      </c>
      <c r="O15" s="26">
        <v>0.16</v>
      </c>
      <c r="P15" s="31">
        <v>3.042</v>
      </c>
      <c r="Q15" s="31">
        <v>0.52</v>
      </c>
      <c r="R15" s="26">
        <f t="shared" si="8"/>
        <v>3.722</v>
      </c>
      <c r="S15" s="26">
        <v>0.16</v>
      </c>
      <c r="T15" s="26">
        <v>3.042</v>
      </c>
      <c r="U15" s="26">
        <v>0.56</v>
      </c>
      <c r="V15" s="26">
        <f t="shared" si="9"/>
        <v>3.762</v>
      </c>
      <c r="W15" s="26">
        <v>0.16</v>
      </c>
      <c r="X15" s="31">
        <v>3.322</v>
      </c>
      <c r="Y15" s="31">
        <v>0.56</v>
      </c>
      <c r="Z15" s="26">
        <f t="shared" si="10"/>
        <v>4.042</v>
      </c>
      <c r="AA15" s="72">
        <v>0.32</v>
      </c>
      <c r="AB15" s="73">
        <v>2.24</v>
      </c>
      <c r="AC15" s="84">
        <v>0.8</v>
      </c>
      <c r="AD15" s="74">
        <f t="shared" si="11"/>
        <v>3.3600000000000003</v>
      </c>
      <c r="AE15" s="88">
        <v>0.2</v>
      </c>
      <c r="AF15" s="73">
        <v>2.24</v>
      </c>
      <c r="AG15" s="73">
        <v>0.68</v>
      </c>
      <c r="AH15" s="74">
        <f t="shared" si="12"/>
        <v>3.1200000000000006</v>
      </c>
      <c r="AJ15" s="44">
        <f t="shared" si="0"/>
        <v>0.12063765618268</v>
      </c>
      <c r="AK15" s="44">
        <f t="shared" si="1"/>
        <v>0.21530180699730875</v>
      </c>
      <c r="AL15" s="44">
        <f t="shared" si="2"/>
        <v>0.17747548244226508</v>
      </c>
      <c r="AM15" s="44">
        <f t="shared" si="3"/>
        <v>0.010746910263299311</v>
      </c>
      <c r="AN15" s="44">
        <f t="shared" si="4"/>
        <v>0.07442849548112701</v>
      </c>
      <c r="AO15" s="44">
        <f t="shared" si="13"/>
        <v>0.08597528210639437</v>
      </c>
      <c r="AP15" s="69">
        <f t="shared" si="14"/>
        <v>-0.1068580542264752</v>
      </c>
      <c r="AQ15" s="69">
        <f t="shared" si="15"/>
        <v>-0.1706539074960126</v>
      </c>
    </row>
    <row r="16" spans="2:43" ht="12.75">
      <c r="B16" s="14" t="s">
        <v>11</v>
      </c>
      <c r="C16" s="26">
        <v>0.44</v>
      </c>
      <c r="D16" s="26">
        <v>1.761</v>
      </c>
      <c r="E16" s="27">
        <v>0.2</v>
      </c>
      <c r="F16" s="26">
        <f t="shared" si="5"/>
        <v>2.4010000000000002</v>
      </c>
      <c r="G16" s="31">
        <v>0.44</v>
      </c>
      <c r="H16" s="31">
        <v>2.241</v>
      </c>
      <c r="I16" s="31">
        <v>0.24</v>
      </c>
      <c r="J16" s="26">
        <f t="shared" si="6"/>
        <v>2.9210000000000003</v>
      </c>
      <c r="K16" s="26">
        <v>0.48</v>
      </c>
      <c r="L16" s="26">
        <v>2.802</v>
      </c>
      <c r="M16" s="26">
        <v>0.2</v>
      </c>
      <c r="N16" s="26">
        <f t="shared" si="7"/>
        <v>3.482</v>
      </c>
      <c r="O16" s="26">
        <v>0.52</v>
      </c>
      <c r="P16" s="31">
        <v>3.322</v>
      </c>
      <c r="Q16" s="31">
        <v>0.12</v>
      </c>
      <c r="R16" s="26">
        <f t="shared" si="8"/>
        <v>3.962</v>
      </c>
      <c r="S16" s="26">
        <v>0.56</v>
      </c>
      <c r="T16" s="26">
        <v>3.282</v>
      </c>
      <c r="U16" s="26">
        <v>0.08</v>
      </c>
      <c r="V16" s="26">
        <f t="shared" si="9"/>
        <v>3.922</v>
      </c>
      <c r="W16" s="26">
        <v>0.56</v>
      </c>
      <c r="X16" s="31">
        <v>3.762</v>
      </c>
      <c r="Y16" s="31">
        <v>0.16</v>
      </c>
      <c r="Z16" s="26">
        <f t="shared" si="10"/>
        <v>4.482</v>
      </c>
      <c r="AA16" s="72">
        <v>0.8</v>
      </c>
      <c r="AB16" s="73">
        <v>3.12</v>
      </c>
      <c r="AC16" s="84">
        <v>0.36</v>
      </c>
      <c r="AD16" s="74">
        <f t="shared" si="11"/>
        <v>4.28</v>
      </c>
      <c r="AE16" s="88">
        <v>0.68</v>
      </c>
      <c r="AF16" s="73">
        <v>3.12</v>
      </c>
      <c r="AG16" s="73">
        <v>0.24</v>
      </c>
      <c r="AH16" s="74">
        <f t="shared" si="12"/>
        <v>4.04</v>
      </c>
      <c r="AJ16" s="44">
        <f t="shared" si="0"/>
        <v>0.21657642648896291</v>
      </c>
      <c r="AK16" s="44">
        <f t="shared" si="1"/>
        <v>0.19205751454981168</v>
      </c>
      <c r="AL16" s="44">
        <f t="shared" si="2"/>
        <v>0.1378518093049971</v>
      </c>
      <c r="AM16" s="44">
        <f t="shared" si="3"/>
        <v>-0.010095911155981836</v>
      </c>
      <c r="AN16" s="44">
        <f t="shared" si="4"/>
        <v>0.14278429372768997</v>
      </c>
      <c r="AO16" s="44">
        <f t="shared" si="13"/>
        <v>0.13124684502776376</v>
      </c>
      <c r="AP16" s="69">
        <f t="shared" si="14"/>
        <v>0.09127995920448753</v>
      </c>
      <c r="AQ16" s="69">
        <f t="shared" si="15"/>
        <v>0.030086690464048924</v>
      </c>
    </row>
    <row r="17" spans="2:43" ht="12.75">
      <c r="B17" s="14" t="s">
        <v>12</v>
      </c>
      <c r="C17" s="26">
        <v>0.44</v>
      </c>
      <c r="D17" s="26">
        <v>1.521</v>
      </c>
      <c r="E17" s="27">
        <v>0.12</v>
      </c>
      <c r="F17" s="26">
        <f t="shared" si="5"/>
        <v>2.081</v>
      </c>
      <c r="G17" s="31">
        <v>0.44</v>
      </c>
      <c r="H17" s="31">
        <v>2.041</v>
      </c>
      <c r="I17" s="31">
        <v>0.12</v>
      </c>
      <c r="J17" s="26">
        <f t="shared" si="6"/>
        <v>2.601</v>
      </c>
      <c r="K17" s="26">
        <v>0.48</v>
      </c>
      <c r="L17" s="26">
        <v>2.481</v>
      </c>
      <c r="M17" s="26">
        <v>0.12</v>
      </c>
      <c r="N17" s="26">
        <f t="shared" si="7"/>
        <v>3.081</v>
      </c>
      <c r="O17" s="26">
        <v>0.52</v>
      </c>
      <c r="P17" s="31">
        <v>3</v>
      </c>
      <c r="Q17" s="31">
        <v>0.16</v>
      </c>
      <c r="R17" s="26">
        <f t="shared" si="8"/>
        <v>3.68</v>
      </c>
      <c r="S17" s="26">
        <v>0.56</v>
      </c>
      <c r="T17" s="26">
        <v>2.962</v>
      </c>
      <c r="U17" s="26">
        <v>0.08</v>
      </c>
      <c r="V17" s="26">
        <f t="shared" si="9"/>
        <v>3.6020000000000003</v>
      </c>
      <c r="W17" s="26">
        <v>0.56</v>
      </c>
      <c r="X17" s="31">
        <v>3.442</v>
      </c>
      <c r="Y17" s="31">
        <v>0.16</v>
      </c>
      <c r="Z17" s="26">
        <f t="shared" si="10"/>
        <v>4.162000000000001</v>
      </c>
      <c r="AA17" s="72">
        <v>0.8</v>
      </c>
      <c r="AB17" s="73">
        <v>2.36</v>
      </c>
      <c r="AC17" s="84">
        <v>0.48</v>
      </c>
      <c r="AD17" s="74">
        <f t="shared" si="11"/>
        <v>3.64</v>
      </c>
      <c r="AE17" s="88">
        <v>0.68</v>
      </c>
      <c r="AF17" s="73">
        <v>2.36</v>
      </c>
      <c r="AG17" s="73">
        <v>0.36</v>
      </c>
      <c r="AH17" s="74">
        <f t="shared" si="12"/>
        <v>3.4</v>
      </c>
      <c r="AJ17" s="44">
        <f t="shared" si="0"/>
        <v>0.24987986544930324</v>
      </c>
      <c r="AK17" s="44">
        <f t="shared" si="1"/>
        <v>0.1845444059976932</v>
      </c>
      <c r="AL17" s="44">
        <f t="shared" si="2"/>
        <v>0.1944173969490426</v>
      </c>
      <c r="AM17" s="44">
        <f t="shared" si="3"/>
        <v>-0.021195652173913</v>
      </c>
      <c r="AN17" s="44">
        <f t="shared" si="4"/>
        <v>0.15546918378678523</v>
      </c>
      <c r="AO17" s="44">
        <f t="shared" si="13"/>
        <v>0.13097826086956538</v>
      </c>
      <c r="AP17" s="69">
        <f t="shared" si="14"/>
        <v>0.010549694614103223</v>
      </c>
      <c r="AQ17" s="69">
        <f t="shared" si="15"/>
        <v>-0.056079955580233314</v>
      </c>
    </row>
    <row r="18" spans="2:43" ht="12.75">
      <c r="B18" s="14" t="s">
        <v>13</v>
      </c>
      <c r="C18" s="26">
        <v>0.44</v>
      </c>
      <c r="D18" s="26">
        <v>1.961</v>
      </c>
      <c r="E18" s="27">
        <v>0.44</v>
      </c>
      <c r="F18" s="26">
        <f t="shared" si="5"/>
        <v>2.841</v>
      </c>
      <c r="G18" s="31">
        <v>0.44</v>
      </c>
      <c r="H18" s="31">
        <v>2.642</v>
      </c>
      <c r="I18" s="31">
        <v>0.44</v>
      </c>
      <c r="J18" s="26">
        <f t="shared" si="6"/>
        <v>3.522</v>
      </c>
      <c r="K18" s="26">
        <v>0.48</v>
      </c>
      <c r="L18" s="26">
        <v>3.122</v>
      </c>
      <c r="M18" s="26">
        <v>0.48</v>
      </c>
      <c r="N18" s="26">
        <f t="shared" si="7"/>
        <v>4.082</v>
      </c>
      <c r="O18" s="26">
        <v>0.52</v>
      </c>
      <c r="P18" s="31">
        <v>3.762</v>
      </c>
      <c r="Q18" s="31">
        <v>0.52</v>
      </c>
      <c r="R18" s="26">
        <f t="shared" si="8"/>
        <v>4.802</v>
      </c>
      <c r="S18" s="26">
        <v>0.56</v>
      </c>
      <c r="T18" s="26">
        <v>3.722</v>
      </c>
      <c r="U18" s="26">
        <v>0.56</v>
      </c>
      <c r="V18" s="26">
        <f t="shared" si="9"/>
        <v>4.8420000000000005</v>
      </c>
      <c r="W18" s="26">
        <v>0.56</v>
      </c>
      <c r="X18" s="31">
        <v>4.323</v>
      </c>
      <c r="Y18" s="31">
        <v>0.56</v>
      </c>
      <c r="Z18" s="26">
        <f t="shared" si="10"/>
        <v>5.443000000000001</v>
      </c>
      <c r="AA18" s="72">
        <v>0.8</v>
      </c>
      <c r="AB18" s="73">
        <v>3.68</v>
      </c>
      <c r="AC18" s="84">
        <v>0.8</v>
      </c>
      <c r="AD18" s="74">
        <f t="shared" si="11"/>
        <v>5.28</v>
      </c>
      <c r="AE18" s="88">
        <v>0.68</v>
      </c>
      <c r="AF18" s="73">
        <v>3.68</v>
      </c>
      <c r="AG18" s="73">
        <v>0.68</v>
      </c>
      <c r="AH18" s="74">
        <f t="shared" si="12"/>
        <v>5.04</v>
      </c>
      <c r="AJ18" s="44">
        <f t="shared" si="0"/>
        <v>0.2397043294614571</v>
      </c>
      <c r="AK18" s="44">
        <f t="shared" si="1"/>
        <v>0.15900056785917094</v>
      </c>
      <c r="AL18" s="44">
        <f t="shared" si="2"/>
        <v>0.17638412542871137</v>
      </c>
      <c r="AM18" s="44">
        <f t="shared" si="3"/>
        <v>0.008329862557267998</v>
      </c>
      <c r="AN18" s="44">
        <f t="shared" si="4"/>
        <v>0.12412226352746815</v>
      </c>
      <c r="AO18" s="44">
        <f t="shared" si="13"/>
        <v>0.13348604748021697</v>
      </c>
      <c r="AP18" s="69">
        <f t="shared" si="14"/>
        <v>0.0904584882280049</v>
      </c>
      <c r="AQ18" s="69">
        <f t="shared" si="15"/>
        <v>0.04089219330855008</v>
      </c>
    </row>
    <row r="19" spans="2:43" ht="12.75">
      <c r="B19" s="14" t="s">
        <v>14</v>
      </c>
      <c r="C19" s="26">
        <v>0.44</v>
      </c>
      <c r="D19" s="26">
        <v>1.721</v>
      </c>
      <c r="E19" s="27">
        <v>0.44</v>
      </c>
      <c r="F19" s="26">
        <f t="shared" si="5"/>
        <v>2.601</v>
      </c>
      <c r="G19" s="31">
        <v>0.44</v>
      </c>
      <c r="H19" s="31">
        <v>2.241</v>
      </c>
      <c r="I19" s="31">
        <v>0.44</v>
      </c>
      <c r="J19" s="26">
        <f t="shared" si="6"/>
        <v>3.121</v>
      </c>
      <c r="K19" s="26">
        <v>0.48</v>
      </c>
      <c r="L19" s="26">
        <v>2.723</v>
      </c>
      <c r="M19" s="26">
        <v>0.48</v>
      </c>
      <c r="N19" s="26">
        <f t="shared" si="7"/>
        <v>3.683</v>
      </c>
      <c r="O19" s="26">
        <v>0.52</v>
      </c>
      <c r="P19" s="31">
        <v>3.242</v>
      </c>
      <c r="Q19" s="31">
        <v>0.52</v>
      </c>
      <c r="R19" s="26">
        <f t="shared" si="8"/>
        <v>4.282</v>
      </c>
      <c r="S19" s="26">
        <v>0.56</v>
      </c>
      <c r="T19" s="26">
        <v>3.242</v>
      </c>
      <c r="U19" s="26">
        <v>0.56</v>
      </c>
      <c r="V19" s="26">
        <f t="shared" si="9"/>
        <v>4.362</v>
      </c>
      <c r="W19" s="26">
        <v>0.56</v>
      </c>
      <c r="X19" s="31">
        <v>3.762</v>
      </c>
      <c r="Y19" s="31">
        <v>0.56</v>
      </c>
      <c r="Z19" s="26">
        <f t="shared" si="10"/>
        <v>4.882</v>
      </c>
      <c r="AA19" s="72">
        <v>0.8</v>
      </c>
      <c r="AB19" s="73">
        <v>3.32</v>
      </c>
      <c r="AC19" s="84">
        <v>0.8</v>
      </c>
      <c r="AD19" s="74">
        <f t="shared" si="11"/>
        <v>4.92</v>
      </c>
      <c r="AE19" s="88">
        <v>0.68</v>
      </c>
      <c r="AF19" s="73">
        <v>3.32</v>
      </c>
      <c r="AG19" s="73">
        <v>0.68</v>
      </c>
      <c r="AH19" s="74">
        <f t="shared" si="12"/>
        <v>4.68</v>
      </c>
      <c r="AJ19" s="44">
        <f t="shared" si="0"/>
        <v>0.19992310649750097</v>
      </c>
      <c r="AK19" s="44">
        <f t="shared" si="1"/>
        <v>0.18007049022749114</v>
      </c>
      <c r="AL19" s="44">
        <f t="shared" si="2"/>
        <v>0.1626391528645127</v>
      </c>
      <c r="AM19" s="44">
        <f t="shared" si="3"/>
        <v>0.01868285847734705</v>
      </c>
      <c r="AN19" s="44">
        <f t="shared" si="4"/>
        <v>0.1192113709307656</v>
      </c>
      <c r="AO19" s="44">
        <f t="shared" si="13"/>
        <v>0.14012143858010268</v>
      </c>
      <c r="AP19" s="69">
        <f t="shared" si="14"/>
        <v>0.12792297111416778</v>
      </c>
      <c r="AQ19" s="69">
        <f t="shared" si="15"/>
        <v>0.07290233837689125</v>
      </c>
    </row>
    <row r="20" spans="2:43" ht="12.75">
      <c r="B20" s="14" t="s">
        <v>15</v>
      </c>
      <c r="C20" s="26">
        <v>0.32</v>
      </c>
      <c r="D20" s="26">
        <v>1.841</v>
      </c>
      <c r="E20" s="27">
        <v>0.32</v>
      </c>
      <c r="F20" s="26">
        <f t="shared" si="5"/>
        <v>2.481</v>
      </c>
      <c r="G20" s="31">
        <v>0.36</v>
      </c>
      <c r="H20" s="31">
        <v>2.361</v>
      </c>
      <c r="I20" s="31">
        <v>0.36</v>
      </c>
      <c r="J20" s="26">
        <f t="shared" si="6"/>
        <v>3.081</v>
      </c>
      <c r="K20" s="26">
        <v>0.4</v>
      </c>
      <c r="L20" s="26">
        <v>2.842</v>
      </c>
      <c r="M20" s="26">
        <v>0.4</v>
      </c>
      <c r="N20" s="26">
        <f t="shared" si="7"/>
        <v>3.642</v>
      </c>
      <c r="O20" s="26">
        <v>0.4</v>
      </c>
      <c r="P20" s="31">
        <v>3.362</v>
      </c>
      <c r="Q20" s="31">
        <v>0.4</v>
      </c>
      <c r="R20" s="26">
        <f t="shared" si="8"/>
        <v>4.162</v>
      </c>
      <c r="S20" s="26">
        <v>0.4</v>
      </c>
      <c r="T20" s="26">
        <v>3.362</v>
      </c>
      <c r="U20" s="26">
        <v>0.4</v>
      </c>
      <c r="V20" s="26">
        <f t="shared" si="9"/>
        <v>4.162</v>
      </c>
      <c r="W20" s="26">
        <v>0.4</v>
      </c>
      <c r="X20" s="31">
        <v>4.203</v>
      </c>
      <c r="Y20" s="31">
        <v>0.4</v>
      </c>
      <c r="Z20" s="26">
        <f t="shared" si="10"/>
        <v>5.003000000000001</v>
      </c>
      <c r="AA20" s="72">
        <v>0.64</v>
      </c>
      <c r="AB20" s="73">
        <v>3.72</v>
      </c>
      <c r="AC20" s="84">
        <v>0.64</v>
      </c>
      <c r="AD20" s="74">
        <f t="shared" si="11"/>
        <v>5</v>
      </c>
      <c r="AE20" s="88">
        <v>0.52</v>
      </c>
      <c r="AF20" s="73">
        <v>3.72</v>
      </c>
      <c r="AG20" s="73">
        <v>0.52</v>
      </c>
      <c r="AH20" s="74">
        <f t="shared" si="12"/>
        <v>4.76</v>
      </c>
      <c r="AJ20" s="44">
        <f t="shared" si="0"/>
        <v>0.24183796856106413</v>
      </c>
      <c r="AK20" s="44">
        <f t="shared" si="1"/>
        <v>0.18208373904576436</v>
      </c>
      <c r="AL20" s="44">
        <f t="shared" si="2"/>
        <v>0.14277869302581</v>
      </c>
      <c r="AM20" s="44">
        <f t="shared" si="3"/>
        <v>0</v>
      </c>
      <c r="AN20" s="44">
        <f t="shared" si="4"/>
        <v>0.20206631427198488</v>
      </c>
      <c r="AO20" s="44">
        <f t="shared" si="13"/>
        <v>0.20206631427198488</v>
      </c>
      <c r="AP20" s="69">
        <f t="shared" si="14"/>
        <v>0.20134550696780396</v>
      </c>
      <c r="AQ20" s="69">
        <f t="shared" si="15"/>
        <v>0.14368092263334933</v>
      </c>
    </row>
    <row r="21" spans="2:43" ht="12.75">
      <c r="B21" s="14" t="s">
        <v>16</v>
      </c>
      <c r="C21" s="26">
        <v>0.44</v>
      </c>
      <c r="D21" s="26">
        <v>1.721</v>
      </c>
      <c r="E21" s="27">
        <v>0.12</v>
      </c>
      <c r="F21" s="26">
        <f t="shared" si="5"/>
        <v>2.281</v>
      </c>
      <c r="G21" s="31">
        <v>0.44</v>
      </c>
      <c r="H21" s="31">
        <v>2.241</v>
      </c>
      <c r="I21" s="31">
        <v>0.36</v>
      </c>
      <c r="J21" s="26">
        <f t="shared" si="6"/>
        <v>3.041</v>
      </c>
      <c r="K21" s="26">
        <v>0.48</v>
      </c>
      <c r="L21" s="26">
        <v>2.723</v>
      </c>
      <c r="M21" s="26">
        <v>0.12</v>
      </c>
      <c r="N21" s="26">
        <f t="shared" si="7"/>
        <v>3.323</v>
      </c>
      <c r="O21" s="26">
        <v>0.52</v>
      </c>
      <c r="P21" s="31">
        <v>3.242</v>
      </c>
      <c r="Q21" s="31">
        <v>0.16</v>
      </c>
      <c r="R21" s="26">
        <f t="shared" si="8"/>
        <v>3.922</v>
      </c>
      <c r="S21" s="26">
        <v>0.56</v>
      </c>
      <c r="T21" s="26">
        <v>3.242</v>
      </c>
      <c r="U21" s="26">
        <v>0.16</v>
      </c>
      <c r="V21" s="26">
        <f t="shared" si="9"/>
        <v>3.962</v>
      </c>
      <c r="W21" s="26">
        <v>0.56</v>
      </c>
      <c r="X21" s="31">
        <v>3.762</v>
      </c>
      <c r="Y21" s="31">
        <v>0.4</v>
      </c>
      <c r="Z21" s="26">
        <f t="shared" si="10"/>
        <v>4.722</v>
      </c>
      <c r="AA21" s="72">
        <v>0.8</v>
      </c>
      <c r="AB21" s="73">
        <v>2.92</v>
      </c>
      <c r="AC21" s="84">
        <v>0.48</v>
      </c>
      <c r="AD21" s="74">
        <f t="shared" si="11"/>
        <v>4.199999999999999</v>
      </c>
      <c r="AE21" s="88">
        <v>0.68</v>
      </c>
      <c r="AF21" s="73">
        <v>2.92</v>
      </c>
      <c r="AG21" s="73">
        <v>0.36</v>
      </c>
      <c r="AH21" s="74">
        <f t="shared" si="12"/>
        <v>3.96</v>
      </c>
      <c r="AJ21" s="44">
        <f t="shared" si="0"/>
        <v>0.33318719859710644</v>
      </c>
      <c r="AK21" s="44">
        <f t="shared" si="1"/>
        <v>0.09273265373232491</v>
      </c>
      <c r="AL21" s="44">
        <f t="shared" si="2"/>
        <v>0.18025880228709004</v>
      </c>
      <c r="AM21" s="44">
        <f t="shared" si="3"/>
        <v>0.010198878123406434</v>
      </c>
      <c r="AN21" s="44">
        <f t="shared" si="4"/>
        <v>0.19182231196365476</v>
      </c>
      <c r="AO21" s="44">
        <f t="shared" si="13"/>
        <v>0.20397756246812856</v>
      </c>
      <c r="AP21" s="69">
        <f t="shared" si="14"/>
        <v>0.06007067137809164</v>
      </c>
      <c r="AQ21" s="69">
        <f t="shared" si="15"/>
        <v>-0.0005047955577991478</v>
      </c>
    </row>
    <row r="22" spans="2:43" ht="12.75">
      <c r="B22" s="14" t="s">
        <v>17</v>
      </c>
      <c r="C22" s="26">
        <v>0.32</v>
      </c>
      <c r="D22" s="26">
        <v>1.841</v>
      </c>
      <c r="E22" s="27">
        <v>0.32</v>
      </c>
      <c r="F22" s="26">
        <f t="shared" si="5"/>
        <v>2.481</v>
      </c>
      <c r="G22" s="31">
        <v>0.36</v>
      </c>
      <c r="H22" s="31">
        <v>2.361</v>
      </c>
      <c r="I22" s="31">
        <v>0.36</v>
      </c>
      <c r="J22" s="26">
        <f t="shared" si="6"/>
        <v>3.081</v>
      </c>
      <c r="K22" s="26">
        <v>0.4</v>
      </c>
      <c r="L22" s="26">
        <v>2.842</v>
      </c>
      <c r="M22" s="26">
        <v>0.4</v>
      </c>
      <c r="N22" s="26">
        <f t="shared" si="7"/>
        <v>3.642</v>
      </c>
      <c r="O22" s="26">
        <v>0.4</v>
      </c>
      <c r="P22" s="31">
        <v>3.362</v>
      </c>
      <c r="Q22" s="31">
        <v>0.4</v>
      </c>
      <c r="R22" s="26">
        <f t="shared" si="8"/>
        <v>4.162</v>
      </c>
      <c r="S22" s="26">
        <v>0.4</v>
      </c>
      <c r="T22" s="26">
        <v>3.362</v>
      </c>
      <c r="U22" s="26">
        <v>0.4</v>
      </c>
      <c r="V22" s="26">
        <f t="shared" si="9"/>
        <v>4.162</v>
      </c>
      <c r="W22" s="26">
        <v>0.56</v>
      </c>
      <c r="X22" s="31">
        <v>4.203</v>
      </c>
      <c r="Y22" s="31">
        <v>0.4</v>
      </c>
      <c r="Z22" s="26">
        <f t="shared" si="10"/>
        <v>5.163</v>
      </c>
      <c r="AA22" s="72">
        <v>0.64</v>
      </c>
      <c r="AB22" s="73">
        <v>3.72</v>
      </c>
      <c r="AC22" s="84">
        <v>0.64</v>
      </c>
      <c r="AD22" s="74">
        <f t="shared" si="11"/>
        <v>5</v>
      </c>
      <c r="AE22" s="88">
        <v>0.52</v>
      </c>
      <c r="AF22" s="73">
        <v>3.72</v>
      </c>
      <c r="AG22" s="73">
        <v>0.52</v>
      </c>
      <c r="AH22" s="74">
        <f t="shared" si="12"/>
        <v>4.76</v>
      </c>
      <c r="AJ22" s="44">
        <f t="shared" si="0"/>
        <v>0.24183796856106413</v>
      </c>
      <c r="AK22" s="44">
        <f t="shared" si="1"/>
        <v>0.18208373904576436</v>
      </c>
      <c r="AL22" s="44">
        <f t="shared" si="2"/>
        <v>0.14277869302581</v>
      </c>
      <c r="AM22" s="44">
        <f t="shared" si="3"/>
        <v>0</v>
      </c>
      <c r="AN22" s="44">
        <f t="shared" si="4"/>
        <v>0.24050937049495444</v>
      </c>
      <c r="AO22" s="44">
        <f t="shared" si="13"/>
        <v>0.24050937049495444</v>
      </c>
      <c r="AP22" s="69">
        <f t="shared" si="14"/>
        <v>0.20134550696780396</v>
      </c>
      <c r="AQ22" s="69">
        <f t="shared" si="15"/>
        <v>0.14368092263334933</v>
      </c>
    </row>
    <row r="23" spans="2:43" ht="12.75">
      <c r="B23" s="14" t="s">
        <v>18</v>
      </c>
      <c r="C23" s="26">
        <v>0.44</v>
      </c>
      <c r="D23" s="26">
        <v>1.721</v>
      </c>
      <c r="E23" s="27">
        <v>0.2</v>
      </c>
      <c r="F23" s="26">
        <f t="shared" si="5"/>
        <v>2.361</v>
      </c>
      <c r="G23" s="31">
        <v>0.44</v>
      </c>
      <c r="H23" s="31">
        <v>2.241</v>
      </c>
      <c r="I23" s="31">
        <v>0.24</v>
      </c>
      <c r="J23" s="26">
        <f t="shared" si="6"/>
        <v>2.9210000000000003</v>
      </c>
      <c r="K23" s="26">
        <v>0.48</v>
      </c>
      <c r="L23" s="26">
        <v>2.723</v>
      </c>
      <c r="M23" s="26">
        <v>0.2</v>
      </c>
      <c r="N23" s="26">
        <f t="shared" si="7"/>
        <v>3.403</v>
      </c>
      <c r="O23" s="26">
        <v>0.52</v>
      </c>
      <c r="P23" s="31">
        <v>3.242</v>
      </c>
      <c r="Q23" s="31">
        <v>0.28</v>
      </c>
      <c r="R23" s="26">
        <f t="shared" si="8"/>
        <v>4.042</v>
      </c>
      <c r="S23" s="26">
        <v>0.56</v>
      </c>
      <c r="T23" s="26">
        <v>3.242</v>
      </c>
      <c r="U23" s="26">
        <v>0.28</v>
      </c>
      <c r="V23" s="26">
        <f t="shared" si="9"/>
        <v>4.082</v>
      </c>
      <c r="W23" s="26">
        <v>0.56</v>
      </c>
      <c r="X23" s="31">
        <v>3.762</v>
      </c>
      <c r="Y23" s="31">
        <v>0.4</v>
      </c>
      <c r="Z23" s="26">
        <f t="shared" si="10"/>
        <v>4.722</v>
      </c>
      <c r="AA23" s="72">
        <v>0.8</v>
      </c>
      <c r="AB23" s="73">
        <v>3</v>
      </c>
      <c r="AC23" s="84">
        <v>0.6</v>
      </c>
      <c r="AD23" s="74">
        <f t="shared" si="11"/>
        <v>4.3999999999999995</v>
      </c>
      <c r="AE23" s="88">
        <v>0.68</v>
      </c>
      <c r="AF23" s="73">
        <v>3</v>
      </c>
      <c r="AG23" s="73">
        <v>0.48</v>
      </c>
      <c r="AH23" s="74">
        <f t="shared" si="12"/>
        <v>4.16</v>
      </c>
      <c r="AJ23" s="44">
        <f t="shared" si="0"/>
        <v>0.23718763235916984</v>
      </c>
      <c r="AK23" s="44">
        <f t="shared" si="1"/>
        <v>0.16501198219787735</v>
      </c>
      <c r="AL23" s="44">
        <f t="shared" si="2"/>
        <v>0.1877754922127534</v>
      </c>
      <c r="AM23" s="44">
        <f t="shared" si="3"/>
        <v>0.009896091044037615</v>
      </c>
      <c r="AN23" s="44">
        <f t="shared" si="4"/>
        <v>0.15678588926996584</v>
      </c>
      <c r="AO23" s="44">
        <f t="shared" si="13"/>
        <v>0.16823354774863944</v>
      </c>
      <c r="AP23" s="69">
        <f t="shared" si="14"/>
        <v>0.07790298873101412</v>
      </c>
      <c r="AQ23" s="69">
        <f t="shared" si="15"/>
        <v>0.019108280254777142</v>
      </c>
    </row>
    <row r="24" spans="2:43" ht="12.75">
      <c r="B24" s="14" t="s">
        <v>19</v>
      </c>
      <c r="C24" s="26">
        <v>0.2</v>
      </c>
      <c r="D24" s="26">
        <v>1.721</v>
      </c>
      <c r="E24" s="27">
        <v>0.2</v>
      </c>
      <c r="F24" s="26">
        <f t="shared" si="5"/>
        <v>2.121</v>
      </c>
      <c r="G24" s="31">
        <v>0.24</v>
      </c>
      <c r="H24" s="31">
        <v>2.241</v>
      </c>
      <c r="I24" s="31">
        <v>0.24</v>
      </c>
      <c r="J24" s="26">
        <f t="shared" si="6"/>
        <v>2.721</v>
      </c>
      <c r="K24" s="26">
        <v>0.2</v>
      </c>
      <c r="L24" s="26">
        <v>2.723</v>
      </c>
      <c r="M24" s="26">
        <v>0.2</v>
      </c>
      <c r="N24" s="26">
        <f t="shared" si="7"/>
        <v>3.123</v>
      </c>
      <c r="O24" s="26">
        <v>0.28</v>
      </c>
      <c r="P24" s="31">
        <v>3.242</v>
      </c>
      <c r="Q24" s="31">
        <v>0.28</v>
      </c>
      <c r="R24" s="26">
        <f t="shared" si="8"/>
        <v>3.8020000000000005</v>
      </c>
      <c r="S24" s="26">
        <v>0.44</v>
      </c>
      <c r="T24" s="26">
        <v>3.242</v>
      </c>
      <c r="U24" s="26">
        <v>0.44</v>
      </c>
      <c r="V24" s="26">
        <f t="shared" si="9"/>
        <v>4.122</v>
      </c>
      <c r="W24" s="26">
        <v>0.4</v>
      </c>
      <c r="X24" s="31">
        <v>3.762</v>
      </c>
      <c r="Y24" s="31">
        <v>0.4</v>
      </c>
      <c r="Z24" s="26">
        <f t="shared" si="10"/>
        <v>4.562</v>
      </c>
      <c r="AA24" s="72">
        <v>0.48</v>
      </c>
      <c r="AB24" s="73">
        <v>2.88</v>
      </c>
      <c r="AC24" s="84">
        <v>0.52</v>
      </c>
      <c r="AD24" s="74">
        <f t="shared" si="11"/>
        <v>3.88</v>
      </c>
      <c r="AE24" s="88">
        <v>0.36</v>
      </c>
      <c r="AF24" s="73">
        <v>2.88</v>
      </c>
      <c r="AG24" s="73">
        <v>0.4</v>
      </c>
      <c r="AH24" s="74">
        <f t="shared" si="12"/>
        <v>3.6399999999999997</v>
      </c>
      <c r="AJ24" s="44">
        <f t="shared" si="0"/>
        <v>0.28288543140028294</v>
      </c>
      <c r="AK24" s="44">
        <f t="shared" si="1"/>
        <v>0.1477398015435502</v>
      </c>
      <c r="AL24" s="44">
        <f t="shared" si="2"/>
        <v>0.2174191482548832</v>
      </c>
      <c r="AM24" s="44">
        <f t="shared" si="3"/>
        <v>0.0841662283008941</v>
      </c>
      <c r="AN24" s="44">
        <f t="shared" si="4"/>
        <v>0.10674429888403697</v>
      </c>
      <c r="AO24" s="44">
        <f t="shared" si="13"/>
        <v>0.1998947922146238</v>
      </c>
      <c r="AP24" s="69">
        <f t="shared" si="14"/>
        <v>-0.05870936438622028</v>
      </c>
      <c r="AQ24" s="69">
        <f t="shared" si="15"/>
        <v>-0.11693352741387682</v>
      </c>
    </row>
    <row r="25" spans="2:43" ht="12.75">
      <c r="B25" s="14" t="s">
        <v>20</v>
      </c>
      <c r="C25" s="26">
        <v>0.12</v>
      </c>
      <c r="D25" s="26">
        <v>1.521</v>
      </c>
      <c r="E25" s="27">
        <v>0.12</v>
      </c>
      <c r="F25" s="26">
        <f t="shared" si="5"/>
        <v>1.7610000000000001</v>
      </c>
      <c r="G25" s="31">
        <v>0.12</v>
      </c>
      <c r="H25" s="31">
        <v>2.041</v>
      </c>
      <c r="I25" s="31">
        <v>0.12</v>
      </c>
      <c r="J25" s="26">
        <f t="shared" si="6"/>
        <v>2.281</v>
      </c>
      <c r="K25" s="26">
        <v>0.12</v>
      </c>
      <c r="L25" s="26">
        <v>2.481</v>
      </c>
      <c r="M25" s="26">
        <v>0.12</v>
      </c>
      <c r="N25" s="26">
        <f t="shared" si="7"/>
        <v>2.721</v>
      </c>
      <c r="O25" s="26">
        <v>0.16</v>
      </c>
      <c r="P25" s="31">
        <v>3</v>
      </c>
      <c r="Q25" s="31">
        <v>0.16</v>
      </c>
      <c r="R25" s="26">
        <f t="shared" si="8"/>
        <v>3.3200000000000003</v>
      </c>
      <c r="S25" s="26">
        <v>0.16</v>
      </c>
      <c r="T25" s="26">
        <v>2.962</v>
      </c>
      <c r="U25" s="26">
        <v>0.16</v>
      </c>
      <c r="V25" s="26">
        <f t="shared" si="9"/>
        <v>3.2820000000000005</v>
      </c>
      <c r="W25" s="26">
        <v>0.16</v>
      </c>
      <c r="X25" s="31">
        <v>3.442</v>
      </c>
      <c r="Y25" s="31">
        <v>0.16</v>
      </c>
      <c r="Z25" s="26">
        <f t="shared" si="10"/>
        <v>3.7620000000000005</v>
      </c>
      <c r="AA25" s="72">
        <v>0.4</v>
      </c>
      <c r="AB25" s="73">
        <v>2.88</v>
      </c>
      <c r="AC25" s="84">
        <v>0.4</v>
      </c>
      <c r="AD25" s="74">
        <f t="shared" si="11"/>
        <v>3.6799999999999997</v>
      </c>
      <c r="AE25" s="88">
        <v>0.28</v>
      </c>
      <c r="AF25" s="73">
        <v>2.88</v>
      </c>
      <c r="AG25" s="73">
        <v>0.28</v>
      </c>
      <c r="AH25" s="74">
        <f t="shared" si="12"/>
        <v>3.4400000000000004</v>
      </c>
      <c r="AJ25" s="44">
        <f t="shared" si="0"/>
        <v>0.29528676888131744</v>
      </c>
      <c r="AK25" s="44">
        <f t="shared" si="1"/>
        <v>0.19289785181937744</v>
      </c>
      <c r="AL25" s="44">
        <f t="shared" si="2"/>
        <v>0.22013965453877257</v>
      </c>
      <c r="AM25" s="44">
        <f t="shared" si="3"/>
        <v>-0.011445783132530063</v>
      </c>
      <c r="AN25" s="44">
        <f t="shared" si="4"/>
        <v>0.1462522851919561</v>
      </c>
      <c r="AO25" s="44">
        <f t="shared" si="13"/>
        <v>0.13313253012048196</v>
      </c>
      <c r="AP25" s="69">
        <f t="shared" si="14"/>
        <v>0.1212675198049967</v>
      </c>
      <c r="AQ25" s="69">
        <f t="shared" si="15"/>
        <v>0.04814137720901886</v>
      </c>
    </row>
    <row r="26" spans="2:43" ht="12.75">
      <c r="B26" s="14" t="s">
        <v>21</v>
      </c>
      <c r="C26" s="26">
        <v>0.44</v>
      </c>
      <c r="D26" s="26">
        <v>1.721</v>
      </c>
      <c r="E26" s="27">
        <v>0.44</v>
      </c>
      <c r="F26" s="26">
        <f t="shared" si="5"/>
        <v>2.601</v>
      </c>
      <c r="G26" s="31">
        <v>0.44</v>
      </c>
      <c r="H26" s="31">
        <v>2.241</v>
      </c>
      <c r="I26" s="31">
        <v>0.44</v>
      </c>
      <c r="J26" s="26">
        <f t="shared" si="6"/>
        <v>3.121</v>
      </c>
      <c r="K26" s="26">
        <v>0.48</v>
      </c>
      <c r="L26" s="26">
        <v>2.723</v>
      </c>
      <c r="M26" s="26">
        <v>0.48</v>
      </c>
      <c r="N26" s="26">
        <f t="shared" si="7"/>
        <v>3.683</v>
      </c>
      <c r="O26" s="26">
        <v>0.52</v>
      </c>
      <c r="P26" s="31">
        <v>3.242</v>
      </c>
      <c r="Q26" s="31">
        <v>0.52</v>
      </c>
      <c r="R26" s="26">
        <f t="shared" si="8"/>
        <v>4.282</v>
      </c>
      <c r="S26" s="26">
        <v>0.56</v>
      </c>
      <c r="T26" s="26">
        <v>3.242</v>
      </c>
      <c r="U26" s="26">
        <v>0.56</v>
      </c>
      <c r="V26" s="26">
        <f t="shared" si="9"/>
        <v>4.362</v>
      </c>
      <c r="W26" s="26">
        <v>0.56</v>
      </c>
      <c r="X26" s="31">
        <v>3.762</v>
      </c>
      <c r="Y26" s="31">
        <v>0.56</v>
      </c>
      <c r="Z26" s="26">
        <f t="shared" si="10"/>
        <v>4.882</v>
      </c>
      <c r="AA26" s="72">
        <v>0.8</v>
      </c>
      <c r="AB26" s="73">
        <v>3.12</v>
      </c>
      <c r="AC26" s="84">
        <v>0.8</v>
      </c>
      <c r="AD26" s="74">
        <f t="shared" si="11"/>
        <v>4.72</v>
      </c>
      <c r="AE26" s="88">
        <v>0.68</v>
      </c>
      <c r="AF26" s="73">
        <v>3.12</v>
      </c>
      <c r="AG26" s="73">
        <v>0.68</v>
      </c>
      <c r="AH26" s="74">
        <f t="shared" si="12"/>
        <v>4.48</v>
      </c>
      <c r="AJ26" s="44">
        <f t="shared" si="0"/>
        <v>0.19992310649750097</v>
      </c>
      <c r="AK26" s="44">
        <f t="shared" si="1"/>
        <v>0.18007049022749114</v>
      </c>
      <c r="AL26" s="44">
        <f t="shared" si="2"/>
        <v>0.1626391528645127</v>
      </c>
      <c r="AM26" s="44">
        <f t="shared" si="3"/>
        <v>0.01868285847734705</v>
      </c>
      <c r="AN26" s="44">
        <f t="shared" si="4"/>
        <v>0.1192113709307656</v>
      </c>
      <c r="AO26" s="44">
        <f t="shared" si="13"/>
        <v>0.14012143858010268</v>
      </c>
      <c r="AP26" s="69">
        <f t="shared" si="14"/>
        <v>0.082072443833104</v>
      </c>
      <c r="AQ26" s="69">
        <f t="shared" si="15"/>
        <v>0.027051811095827678</v>
      </c>
    </row>
    <row r="27" spans="2:43" ht="12.75">
      <c r="B27" s="14" t="s">
        <v>22</v>
      </c>
      <c r="C27" s="26">
        <v>0.12</v>
      </c>
      <c r="D27" s="26">
        <v>1.881</v>
      </c>
      <c r="E27" s="27">
        <v>0.12</v>
      </c>
      <c r="F27" s="26">
        <f t="shared" si="5"/>
        <v>2.121</v>
      </c>
      <c r="G27" s="31">
        <v>0.12</v>
      </c>
      <c r="H27" s="31">
        <v>2.481</v>
      </c>
      <c r="I27" s="31">
        <v>0.12</v>
      </c>
      <c r="J27" s="26">
        <f t="shared" si="6"/>
        <v>2.721</v>
      </c>
      <c r="K27" s="26">
        <v>0.12</v>
      </c>
      <c r="L27" s="26">
        <v>3.042</v>
      </c>
      <c r="M27" s="26">
        <v>0.12</v>
      </c>
      <c r="N27" s="26">
        <f t="shared" si="7"/>
        <v>3.282</v>
      </c>
      <c r="O27" s="26">
        <v>0.16</v>
      </c>
      <c r="P27" s="31">
        <v>3.682</v>
      </c>
      <c r="Q27" s="31">
        <v>0.16</v>
      </c>
      <c r="R27" s="26">
        <f t="shared" si="8"/>
        <v>4.002</v>
      </c>
      <c r="S27" s="26">
        <v>0.16</v>
      </c>
      <c r="T27" s="26">
        <v>3.682</v>
      </c>
      <c r="U27" s="26">
        <v>0.16</v>
      </c>
      <c r="V27" s="26">
        <f t="shared" si="9"/>
        <v>4.002</v>
      </c>
      <c r="W27" s="26">
        <v>0.16</v>
      </c>
      <c r="X27" s="31">
        <v>4.203</v>
      </c>
      <c r="Y27" s="31">
        <v>0.16</v>
      </c>
      <c r="Z27" s="26">
        <f t="shared" si="10"/>
        <v>4.523000000000001</v>
      </c>
      <c r="AA27" s="72">
        <v>0.36</v>
      </c>
      <c r="AB27" s="73">
        <v>3.4</v>
      </c>
      <c r="AC27" s="84">
        <v>0.36</v>
      </c>
      <c r="AD27" s="74">
        <f t="shared" si="11"/>
        <v>4.12</v>
      </c>
      <c r="AE27" s="88">
        <v>0.24</v>
      </c>
      <c r="AF27" s="73">
        <v>3.4</v>
      </c>
      <c r="AG27" s="73">
        <v>0.24</v>
      </c>
      <c r="AH27" s="74">
        <f t="shared" si="12"/>
        <v>3.88</v>
      </c>
      <c r="AJ27" s="44">
        <f t="shared" si="0"/>
        <v>0.28288543140028294</v>
      </c>
      <c r="AK27" s="44">
        <f t="shared" si="1"/>
        <v>0.20617420066152148</v>
      </c>
      <c r="AL27" s="44">
        <f t="shared" si="2"/>
        <v>0.21937842778793412</v>
      </c>
      <c r="AM27" s="44">
        <f t="shared" si="3"/>
        <v>0</v>
      </c>
      <c r="AN27" s="44">
        <f t="shared" si="4"/>
        <v>0.13018490754622708</v>
      </c>
      <c r="AO27" s="44">
        <f t="shared" si="13"/>
        <v>0.13018490754622708</v>
      </c>
      <c r="AP27" s="69">
        <f t="shared" si="14"/>
        <v>0.029485257371314424</v>
      </c>
      <c r="AQ27" s="69">
        <f t="shared" si="15"/>
        <v>-0.03048475762118938</v>
      </c>
    </row>
    <row r="28" spans="2:43" ht="12.75">
      <c r="B28" s="14" t="s">
        <v>23</v>
      </c>
      <c r="C28" s="26">
        <v>0.12</v>
      </c>
      <c r="D28" s="26">
        <v>2.561</v>
      </c>
      <c r="E28" s="27">
        <v>0.12</v>
      </c>
      <c r="F28" s="26">
        <f t="shared" si="5"/>
        <v>2.801</v>
      </c>
      <c r="G28" s="31">
        <v>0.12</v>
      </c>
      <c r="H28" s="31">
        <v>3.042</v>
      </c>
      <c r="I28" s="31">
        <v>0.12</v>
      </c>
      <c r="J28" s="26">
        <f t="shared" si="6"/>
        <v>3.282</v>
      </c>
      <c r="K28" s="26">
        <v>0.12</v>
      </c>
      <c r="L28" s="26">
        <v>3.562</v>
      </c>
      <c r="M28" s="26">
        <v>0.12</v>
      </c>
      <c r="N28" s="26">
        <f t="shared" si="7"/>
        <v>3.802</v>
      </c>
      <c r="O28" s="26">
        <v>0.16</v>
      </c>
      <c r="P28" s="31">
        <v>4.243</v>
      </c>
      <c r="Q28" s="31">
        <v>0.16</v>
      </c>
      <c r="R28" s="26">
        <f t="shared" si="8"/>
        <v>4.563000000000001</v>
      </c>
      <c r="S28" s="26">
        <v>0.16</v>
      </c>
      <c r="T28" s="26">
        <v>4.243</v>
      </c>
      <c r="U28" s="26">
        <v>0.16</v>
      </c>
      <c r="V28" s="26">
        <f t="shared" si="9"/>
        <v>4.563000000000001</v>
      </c>
      <c r="W28" s="26">
        <v>0.16</v>
      </c>
      <c r="X28" s="31">
        <v>4.683</v>
      </c>
      <c r="Y28" s="31">
        <v>0.16</v>
      </c>
      <c r="Z28" s="26">
        <f t="shared" si="10"/>
        <v>5.003</v>
      </c>
      <c r="AA28" s="72">
        <v>0.4</v>
      </c>
      <c r="AB28" s="73">
        <v>5.32</v>
      </c>
      <c r="AC28" s="84">
        <v>0.4</v>
      </c>
      <c r="AD28" s="74">
        <f t="shared" si="11"/>
        <v>6.120000000000001</v>
      </c>
      <c r="AE28" s="88">
        <v>0.28</v>
      </c>
      <c r="AF28" s="73">
        <v>5.32</v>
      </c>
      <c r="AG28" s="73">
        <v>0.28</v>
      </c>
      <c r="AH28" s="74">
        <f t="shared" si="12"/>
        <v>5.880000000000001</v>
      </c>
      <c r="AJ28" s="44">
        <f t="shared" si="0"/>
        <v>0.17172438414851834</v>
      </c>
      <c r="AK28" s="44">
        <f t="shared" si="1"/>
        <v>0.15843997562461914</v>
      </c>
      <c r="AL28" s="44">
        <f t="shared" si="2"/>
        <v>0.20015781167806432</v>
      </c>
      <c r="AM28" s="44">
        <f t="shared" si="3"/>
        <v>0</v>
      </c>
      <c r="AN28" s="44">
        <f t="shared" si="4"/>
        <v>0.09642778873548093</v>
      </c>
      <c r="AO28" s="44">
        <f t="shared" si="13"/>
        <v>0.09642778873548093</v>
      </c>
      <c r="AP28" s="69">
        <f t="shared" si="14"/>
        <v>0.34122287968441817</v>
      </c>
      <c r="AQ28" s="69">
        <f t="shared" si="15"/>
        <v>0.2886259040105194</v>
      </c>
    </row>
    <row r="29" spans="2:43" ht="12.75">
      <c r="B29" s="14" t="s">
        <v>24</v>
      </c>
      <c r="C29" s="26">
        <v>0.2</v>
      </c>
      <c r="D29" s="26">
        <v>1.881</v>
      </c>
      <c r="E29" s="27">
        <v>0.2</v>
      </c>
      <c r="F29" s="26">
        <f t="shared" si="5"/>
        <v>2.281</v>
      </c>
      <c r="G29" s="31">
        <v>0.12</v>
      </c>
      <c r="H29" s="31">
        <v>2.361</v>
      </c>
      <c r="I29" s="31">
        <v>0.12</v>
      </c>
      <c r="J29" s="26">
        <f t="shared" si="6"/>
        <v>2.6010000000000004</v>
      </c>
      <c r="K29" s="26">
        <v>0.2</v>
      </c>
      <c r="L29" s="26">
        <v>2.723</v>
      </c>
      <c r="M29" s="26">
        <v>0.2</v>
      </c>
      <c r="N29" s="26">
        <f t="shared" si="7"/>
        <v>3.123</v>
      </c>
      <c r="O29" s="26">
        <v>0.28</v>
      </c>
      <c r="P29" s="31">
        <v>3.482</v>
      </c>
      <c r="Q29" s="31">
        <v>0.28</v>
      </c>
      <c r="R29" s="26">
        <f t="shared" si="8"/>
        <v>4.042000000000001</v>
      </c>
      <c r="S29" s="26">
        <v>0.28</v>
      </c>
      <c r="T29" s="26">
        <v>3.482</v>
      </c>
      <c r="U29" s="26">
        <v>0.28</v>
      </c>
      <c r="V29" s="26">
        <f t="shared" si="9"/>
        <v>4.042000000000001</v>
      </c>
      <c r="W29" s="26">
        <v>0.16</v>
      </c>
      <c r="X29" s="31">
        <v>4.083</v>
      </c>
      <c r="Y29" s="31">
        <v>0.16</v>
      </c>
      <c r="Z29" s="26">
        <f t="shared" si="10"/>
        <v>4.4030000000000005</v>
      </c>
      <c r="AA29" s="72">
        <v>0.32</v>
      </c>
      <c r="AB29" s="73">
        <v>3.44</v>
      </c>
      <c r="AC29" s="84">
        <v>0.32</v>
      </c>
      <c r="AD29" s="74">
        <f t="shared" si="11"/>
        <v>4.08</v>
      </c>
      <c r="AE29" s="88">
        <v>0.2</v>
      </c>
      <c r="AF29" s="73">
        <v>3.44</v>
      </c>
      <c r="AG29" s="73">
        <v>0.2</v>
      </c>
      <c r="AH29" s="74">
        <f t="shared" si="12"/>
        <v>3.8400000000000003</v>
      </c>
      <c r="AJ29" s="44">
        <f t="shared" si="0"/>
        <v>0.1402893467777292</v>
      </c>
      <c r="AK29" s="44">
        <f t="shared" si="1"/>
        <v>0.20069204152249123</v>
      </c>
      <c r="AL29" s="44">
        <f t="shared" si="2"/>
        <v>0.2942683317323088</v>
      </c>
      <c r="AM29" s="44">
        <f t="shared" si="3"/>
        <v>0</v>
      </c>
      <c r="AN29" s="44">
        <f t="shared" si="4"/>
        <v>0.08931222167243931</v>
      </c>
      <c r="AO29" s="44">
        <f t="shared" si="13"/>
        <v>0.08931222167243931</v>
      </c>
      <c r="AP29" s="69">
        <f t="shared" si="14"/>
        <v>0.009401286491835567</v>
      </c>
      <c r="AQ29" s="69">
        <f t="shared" si="15"/>
        <v>-0.04997525977238999</v>
      </c>
    </row>
    <row r="30" spans="2:43" ht="12.75">
      <c r="B30" s="14" t="s">
        <v>25</v>
      </c>
      <c r="C30" s="26">
        <v>0.12</v>
      </c>
      <c r="D30" s="26">
        <v>2.161</v>
      </c>
      <c r="E30" s="27">
        <v>0.12</v>
      </c>
      <c r="F30" s="26">
        <f t="shared" si="5"/>
        <v>2.4010000000000002</v>
      </c>
      <c r="G30" s="31">
        <v>0.12</v>
      </c>
      <c r="H30" s="31">
        <v>2.561</v>
      </c>
      <c r="I30" s="31">
        <v>0.12</v>
      </c>
      <c r="J30" s="26">
        <f t="shared" si="6"/>
        <v>2.801</v>
      </c>
      <c r="K30" s="26">
        <v>0.12</v>
      </c>
      <c r="L30" s="26">
        <v>3.442</v>
      </c>
      <c r="M30" s="26">
        <v>0.12</v>
      </c>
      <c r="N30" s="26">
        <f t="shared" si="7"/>
        <v>3.6820000000000004</v>
      </c>
      <c r="O30" s="26">
        <v>0.16</v>
      </c>
      <c r="P30" s="31">
        <v>4.083</v>
      </c>
      <c r="Q30" s="31">
        <v>0.16</v>
      </c>
      <c r="R30" s="26">
        <f t="shared" si="8"/>
        <v>4.4030000000000005</v>
      </c>
      <c r="S30" s="26">
        <v>0.16</v>
      </c>
      <c r="T30" s="26">
        <v>4.043</v>
      </c>
      <c r="U30" s="26">
        <v>0.16</v>
      </c>
      <c r="V30" s="26">
        <f t="shared" si="9"/>
        <v>4.363</v>
      </c>
      <c r="W30" s="26">
        <v>0.16</v>
      </c>
      <c r="X30" s="31">
        <v>4.563</v>
      </c>
      <c r="Y30" s="31">
        <v>0.16</v>
      </c>
      <c r="Z30" s="26">
        <f t="shared" si="10"/>
        <v>4.883</v>
      </c>
      <c r="AA30" s="72">
        <v>0.28</v>
      </c>
      <c r="AB30" s="73">
        <v>3.52</v>
      </c>
      <c r="AC30" s="84">
        <v>0.28</v>
      </c>
      <c r="AD30" s="74">
        <f t="shared" si="11"/>
        <v>4.08</v>
      </c>
      <c r="AE30" s="88">
        <v>0.16</v>
      </c>
      <c r="AF30" s="73">
        <v>3.52</v>
      </c>
      <c r="AG30" s="73">
        <v>0.16</v>
      </c>
      <c r="AH30" s="74">
        <f t="shared" si="12"/>
        <v>3.8400000000000003</v>
      </c>
      <c r="AJ30" s="44">
        <f t="shared" si="0"/>
        <v>0.16659725114535603</v>
      </c>
      <c r="AK30" s="44">
        <f t="shared" si="1"/>
        <v>0.314530524812567</v>
      </c>
      <c r="AL30" s="44">
        <f t="shared" si="2"/>
        <v>0.1958174904942966</v>
      </c>
      <c r="AM30" s="44">
        <f t="shared" si="3"/>
        <v>-0.009084714967067916</v>
      </c>
      <c r="AN30" s="44">
        <f t="shared" si="4"/>
        <v>0.11918404767361895</v>
      </c>
      <c r="AO30" s="44">
        <f t="shared" si="13"/>
        <v>0.10901657960481478</v>
      </c>
      <c r="AP30" s="69">
        <f t="shared" si="14"/>
        <v>-0.06486362594545045</v>
      </c>
      <c r="AQ30" s="69">
        <f t="shared" si="15"/>
        <v>-0.1198716479486592</v>
      </c>
    </row>
    <row r="31" spans="2:43" ht="12.75">
      <c r="B31" s="14" t="s">
        <v>26</v>
      </c>
      <c r="C31" s="26">
        <v>0.2</v>
      </c>
      <c r="D31" s="26">
        <v>1.721</v>
      </c>
      <c r="E31" s="27">
        <v>0.2</v>
      </c>
      <c r="F31" s="26">
        <f t="shared" si="5"/>
        <v>2.121</v>
      </c>
      <c r="G31" s="31">
        <v>0.24</v>
      </c>
      <c r="H31" s="31">
        <v>2.241</v>
      </c>
      <c r="I31" s="31">
        <v>0.24</v>
      </c>
      <c r="J31" s="26">
        <f t="shared" si="6"/>
        <v>2.721</v>
      </c>
      <c r="K31" s="26">
        <v>0.2</v>
      </c>
      <c r="L31" s="26">
        <v>2.723</v>
      </c>
      <c r="M31" s="26">
        <v>0.2</v>
      </c>
      <c r="N31" s="26">
        <f t="shared" si="7"/>
        <v>3.123</v>
      </c>
      <c r="O31" s="26">
        <v>0.28</v>
      </c>
      <c r="P31" s="31">
        <v>3.242</v>
      </c>
      <c r="Q31" s="31">
        <v>0.28</v>
      </c>
      <c r="R31" s="26">
        <f t="shared" si="8"/>
        <v>3.8020000000000005</v>
      </c>
      <c r="S31" s="26">
        <v>0.28</v>
      </c>
      <c r="T31" s="26">
        <v>3.242</v>
      </c>
      <c r="U31" s="26">
        <v>0.28</v>
      </c>
      <c r="V31" s="26">
        <f t="shared" si="9"/>
        <v>3.8020000000000005</v>
      </c>
      <c r="W31" s="26">
        <v>0.28</v>
      </c>
      <c r="X31" s="31">
        <v>3.762</v>
      </c>
      <c r="Y31" s="31">
        <v>0.28</v>
      </c>
      <c r="Z31" s="26">
        <f t="shared" si="10"/>
        <v>4.322</v>
      </c>
      <c r="AA31" s="72">
        <v>0.52</v>
      </c>
      <c r="AB31" s="73">
        <v>2.88</v>
      </c>
      <c r="AC31" s="84">
        <v>0.52</v>
      </c>
      <c r="AD31" s="74">
        <f t="shared" si="11"/>
        <v>3.92</v>
      </c>
      <c r="AE31" s="88">
        <v>0.4</v>
      </c>
      <c r="AF31" s="73">
        <v>2.88</v>
      </c>
      <c r="AG31" s="73">
        <v>0.4</v>
      </c>
      <c r="AH31" s="74">
        <f t="shared" si="12"/>
        <v>3.6799999999999997</v>
      </c>
      <c r="AJ31" s="44">
        <f t="shared" si="0"/>
        <v>0.28288543140028294</v>
      </c>
      <c r="AK31" s="44">
        <f t="shared" si="1"/>
        <v>0.1477398015435502</v>
      </c>
      <c r="AL31" s="44">
        <f t="shared" si="2"/>
        <v>0.2174191482548832</v>
      </c>
      <c r="AM31" s="44">
        <f t="shared" si="3"/>
        <v>0</v>
      </c>
      <c r="AN31" s="44">
        <f t="shared" si="4"/>
        <v>0.13677012098895305</v>
      </c>
      <c r="AO31" s="44">
        <f t="shared" si="13"/>
        <v>0.13677012098895305</v>
      </c>
      <c r="AP31" s="69">
        <f t="shared" si="14"/>
        <v>0.03103629668595461</v>
      </c>
      <c r="AQ31" s="69">
        <f t="shared" si="15"/>
        <v>-0.032088374539716136</v>
      </c>
    </row>
    <row r="32" spans="2:43" ht="12.75">
      <c r="B32" s="14" t="s">
        <v>27</v>
      </c>
      <c r="C32" s="26">
        <v>0.12</v>
      </c>
      <c r="D32" s="26">
        <v>1.481</v>
      </c>
      <c r="E32" s="27">
        <v>0.28</v>
      </c>
      <c r="F32" s="26">
        <f t="shared" si="5"/>
        <v>1.881</v>
      </c>
      <c r="G32" s="31">
        <v>0.16</v>
      </c>
      <c r="H32" s="31">
        <v>1.921</v>
      </c>
      <c r="I32" s="31">
        <v>0.32</v>
      </c>
      <c r="J32" s="26">
        <f t="shared" si="6"/>
        <v>2.401</v>
      </c>
      <c r="K32" s="26">
        <v>0.2</v>
      </c>
      <c r="L32" s="26">
        <v>2.281</v>
      </c>
      <c r="M32" s="26">
        <v>0.36</v>
      </c>
      <c r="N32" s="26">
        <f t="shared" si="7"/>
        <v>2.841</v>
      </c>
      <c r="O32" s="26">
        <v>0.2</v>
      </c>
      <c r="P32" s="31">
        <v>2.441</v>
      </c>
      <c r="Q32" s="31">
        <v>0.32</v>
      </c>
      <c r="R32" s="26">
        <f t="shared" si="8"/>
        <v>2.961</v>
      </c>
      <c r="S32" s="26">
        <v>0.44</v>
      </c>
      <c r="T32" s="26">
        <v>2.642</v>
      </c>
      <c r="U32" s="26">
        <v>0.8</v>
      </c>
      <c r="V32" s="26">
        <f t="shared" si="9"/>
        <v>3.8819999999999997</v>
      </c>
      <c r="W32" s="26">
        <v>0.32</v>
      </c>
      <c r="X32" s="31">
        <v>3.042</v>
      </c>
      <c r="Y32" s="31">
        <v>0.48</v>
      </c>
      <c r="Z32" s="26">
        <f t="shared" si="10"/>
        <v>3.8419999999999996</v>
      </c>
      <c r="AA32" s="72">
        <v>0.52</v>
      </c>
      <c r="AB32" s="73">
        <v>2.96</v>
      </c>
      <c r="AC32" s="84">
        <v>0.52</v>
      </c>
      <c r="AD32" s="74">
        <f t="shared" si="11"/>
        <v>4</v>
      </c>
      <c r="AE32" s="88">
        <v>0.4</v>
      </c>
      <c r="AF32" s="73">
        <v>2.96</v>
      </c>
      <c r="AG32" s="73">
        <v>0.4</v>
      </c>
      <c r="AH32" s="74">
        <f t="shared" si="12"/>
        <v>3.76</v>
      </c>
      <c r="AJ32" s="44">
        <f t="shared" si="0"/>
        <v>0.27644869750132894</v>
      </c>
      <c r="AK32" s="44">
        <f t="shared" si="1"/>
        <v>0.1832569762598919</v>
      </c>
      <c r="AL32" s="44">
        <f t="shared" si="2"/>
        <v>0.04223864836325225</v>
      </c>
      <c r="AM32" s="44">
        <f t="shared" si="3"/>
        <v>0.31104356636271524</v>
      </c>
      <c r="AN32" s="44">
        <f t="shared" si="4"/>
        <v>-0.010303967027305523</v>
      </c>
      <c r="AO32" s="44">
        <f t="shared" si="13"/>
        <v>0.2975346166835528</v>
      </c>
      <c r="AP32" s="69">
        <f t="shared" si="14"/>
        <v>0.03039670273055135</v>
      </c>
      <c r="AQ32" s="69">
        <f t="shared" si="15"/>
        <v>-0.031427099433281785</v>
      </c>
    </row>
    <row r="33" spans="2:43" ht="12.75">
      <c r="B33" s="14" t="s">
        <v>28</v>
      </c>
      <c r="C33" s="26">
        <v>0.32</v>
      </c>
      <c r="D33" s="26">
        <v>1.481</v>
      </c>
      <c r="E33" s="27">
        <v>0.2</v>
      </c>
      <c r="F33" s="26">
        <f t="shared" si="5"/>
        <v>2.0010000000000003</v>
      </c>
      <c r="G33" s="31">
        <v>0.36</v>
      </c>
      <c r="H33" s="31">
        <v>2.041</v>
      </c>
      <c r="I33" s="31">
        <v>0.24</v>
      </c>
      <c r="J33" s="26">
        <f t="shared" si="6"/>
        <v>2.641</v>
      </c>
      <c r="K33" s="26">
        <v>0.4</v>
      </c>
      <c r="L33" s="26">
        <v>2.401</v>
      </c>
      <c r="M33" s="26">
        <v>0.24</v>
      </c>
      <c r="N33" s="26">
        <f t="shared" si="7"/>
        <v>3.0409999999999995</v>
      </c>
      <c r="O33" s="26">
        <v>0.36</v>
      </c>
      <c r="P33" s="31">
        <v>2.481</v>
      </c>
      <c r="Q33" s="31">
        <v>0.24</v>
      </c>
      <c r="R33" s="26">
        <f t="shared" si="8"/>
        <v>3.0809999999999995</v>
      </c>
      <c r="S33" s="26">
        <v>0.8</v>
      </c>
      <c r="T33" s="26">
        <v>2.642</v>
      </c>
      <c r="U33" s="26">
        <v>0.44</v>
      </c>
      <c r="V33" s="26">
        <f t="shared" si="9"/>
        <v>3.882</v>
      </c>
      <c r="W33" s="26">
        <v>0.48</v>
      </c>
      <c r="X33" s="31">
        <v>3.162</v>
      </c>
      <c r="Y33" s="31">
        <v>0.32</v>
      </c>
      <c r="Z33" s="26">
        <f t="shared" si="10"/>
        <v>3.9619999999999997</v>
      </c>
      <c r="AA33" s="72">
        <v>0.76</v>
      </c>
      <c r="AB33" s="73">
        <v>2.88</v>
      </c>
      <c r="AC33" s="84">
        <v>0.6</v>
      </c>
      <c r="AD33" s="74">
        <f t="shared" si="11"/>
        <v>4.239999999999999</v>
      </c>
      <c r="AE33" s="88">
        <v>0.64</v>
      </c>
      <c r="AF33" s="73">
        <v>2.88</v>
      </c>
      <c r="AG33" s="73">
        <v>0.48</v>
      </c>
      <c r="AH33" s="74">
        <f t="shared" si="12"/>
        <v>4</v>
      </c>
      <c r="AJ33" s="44">
        <f t="shared" si="0"/>
        <v>0.3198400799600198</v>
      </c>
      <c r="AK33" s="44">
        <f t="shared" si="1"/>
        <v>0.15145778114350605</v>
      </c>
      <c r="AL33" s="44">
        <f t="shared" si="2"/>
        <v>0.013153567905294325</v>
      </c>
      <c r="AM33" s="44">
        <f t="shared" si="3"/>
        <v>0.2599805258033108</v>
      </c>
      <c r="AN33" s="44">
        <f t="shared" si="4"/>
        <v>0.020607934054610928</v>
      </c>
      <c r="AO33" s="44">
        <f t="shared" si="13"/>
        <v>0.2859461213891595</v>
      </c>
      <c r="AP33" s="69">
        <f t="shared" si="14"/>
        <v>0.09222050489438413</v>
      </c>
      <c r="AQ33" s="69">
        <f t="shared" si="15"/>
        <v>0.030396702730551232</v>
      </c>
    </row>
    <row r="34" spans="2:43" ht="12.75">
      <c r="B34" s="14" t="s">
        <v>29</v>
      </c>
      <c r="C34" s="26">
        <v>0.2</v>
      </c>
      <c r="D34" s="26">
        <v>1.481</v>
      </c>
      <c r="E34" s="27">
        <v>0.08</v>
      </c>
      <c r="F34" s="26">
        <f t="shared" si="5"/>
        <v>1.7610000000000001</v>
      </c>
      <c r="G34" s="31">
        <v>0.24</v>
      </c>
      <c r="H34" s="31">
        <v>2.001</v>
      </c>
      <c r="I34" s="31">
        <v>0.12</v>
      </c>
      <c r="J34" s="26">
        <f t="shared" si="6"/>
        <v>2.3609999999999998</v>
      </c>
      <c r="K34" s="26">
        <v>0.24</v>
      </c>
      <c r="L34" s="26">
        <v>2.361</v>
      </c>
      <c r="M34" s="26">
        <v>0.12</v>
      </c>
      <c r="N34" s="26">
        <f t="shared" si="7"/>
        <v>2.721</v>
      </c>
      <c r="O34" s="26">
        <v>0.24</v>
      </c>
      <c r="P34" s="31">
        <v>2.481</v>
      </c>
      <c r="Q34" s="31">
        <v>0.12</v>
      </c>
      <c r="R34" s="26">
        <f t="shared" si="8"/>
        <v>2.841</v>
      </c>
      <c r="S34" s="26">
        <v>0.44</v>
      </c>
      <c r="T34" s="26">
        <v>2.642</v>
      </c>
      <c r="U34" s="26">
        <v>0.44</v>
      </c>
      <c r="V34" s="26">
        <f t="shared" si="9"/>
        <v>3.522</v>
      </c>
      <c r="W34" s="26">
        <v>0.32</v>
      </c>
      <c r="X34" s="31">
        <v>2.802</v>
      </c>
      <c r="Y34" s="31">
        <v>0.2</v>
      </c>
      <c r="Z34" s="26">
        <f t="shared" si="10"/>
        <v>3.322</v>
      </c>
      <c r="AA34" s="72">
        <v>0.6</v>
      </c>
      <c r="AB34" s="73">
        <v>2.72</v>
      </c>
      <c r="AC34" s="84">
        <v>0.4</v>
      </c>
      <c r="AD34" s="74">
        <f t="shared" si="11"/>
        <v>3.72</v>
      </c>
      <c r="AE34" s="88">
        <v>0.48</v>
      </c>
      <c r="AF34" s="73">
        <v>2.72</v>
      </c>
      <c r="AG34" s="73">
        <v>0.28</v>
      </c>
      <c r="AH34" s="74">
        <f t="shared" si="12"/>
        <v>3.4800000000000004</v>
      </c>
      <c r="AJ34" s="44">
        <f t="shared" si="0"/>
        <v>0.34071550255536603</v>
      </c>
      <c r="AK34" s="44">
        <f t="shared" si="1"/>
        <v>0.15247776365946647</v>
      </c>
      <c r="AL34" s="44">
        <f t="shared" si="2"/>
        <v>0.04410143329658218</v>
      </c>
      <c r="AM34" s="44">
        <f t="shared" si="3"/>
        <v>0.2397043294614571</v>
      </c>
      <c r="AN34" s="44">
        <f t="shared" si="4"/>
        <v>-0.05678591709256097</v>
      </c>
      <c r="AO34" s="44">
        <f t="shared" si="13"/>
        <v>0.1693065821893699</v>
      </c>
      <c r="AP34" s="69">
        <f t="shared" si="14"/>
        <v>0.05621805792163555</v>
      </c>
      <c r="AQ34" s="69">
        <f t="shared" si="15"/>
        <v>-0.011925042589437641</v>
      </c>
    </row>
    <row r="35" spans="2:43" ht="12.75">
      <c r="B35" s="14" t="s">
        <v>30</v>
      </c>
      <c r="C35" s="26">
        <v>0.2</v>
      </c>
      <c r="D35" s="26">
        <v>1.481</v>
      </c>
      <c r="E35" s="27">
        <v>0.32</v>
      </c>
      <c r="F35" s="26">
        <f t="shared" si="5"/>
        <v>2.001</v>
      </c>
      <c r="G35" s="31">
        <v>0.24</v>
      </c>
      <c r="H35" s="31">
        <v>2.041</v>
      </c>
      <c r="I35" s="31">
        <v>0.36</v>
      </c>
      <c r="J35" s="26">
        <f t="shared" si="6"/>
        <v>2.6409999999999996</v>
      </c>
      <c r="K35" s="26">
        <v>0.24</v>
      </c>
      <c r="L35" s="26">
        <v>2.401</v>
      </c>
      <c r="M35" s="26">
        <v>0.4</v>
      </c>
      <c r="N35" s="26">
        <f t="shared" si="7"/>
        <v>3.041</v>
      </c>
      <c r="O35" s="26">
        <v>0.24</v>
      </c>
      <c r="P35" s="31">
        <v>2.481</v>
      </c>
      <c r="Q35" s="31">
        <v>0.36</v>
      </c>
      <c r="R35" s="26">
        <f t="shared" si="8"/>
        <v>3.081</v>
      </c>
      <c r="S35" s="26">
        <v>0.44</v>
      </c>
      <c r="T35" s="26">
        <v>2.642</v>
      </c>
      <c r="U35" s="26">
        <v>0.8</v>
      </c>
      <c r="V35" s="26">
        <f t="shared" si="9"/>
        <v>3.8819999999999997</v>
      </c>
      <c r="W35" s="26">
        <v>0.32</v>
      </c>
      <c r="X35" s="31">
        <v>3.162</v>
      </c>
      <c r="Y35" s="31">
        <v>0.48</v>
      </c>
      <c r="Z35" s="26">
        <f t="shared" si="10"/>
        <v>3.9619999999999997</v>
      </c>
      <c r="AA35" s="72">
        <v>0.6</v>
      </c>
      <c r="AB35" s="73">
        <v>2.92</v>
      </c>
      <c r="AC35" s="84">
        <v>0.76</v>
      </c>
      <c r="AD35" s="74">
        <f t="shared" si="11"/>
        <v>4.28</v>
      </c>
      <c r="AE35" s="88">
        <v>0.48</v>
      </c>
      <c r="AF35" s="73">
        <v>2.92</v>
      </c>
      <c r="AG35" s="73">
        <v>0.64</v>
      </c>
      <c r="AH35" s="74">
        <f t="shared" si="12"/>
        <v>4.04</v>
      </c>
      <c r="AJ35" s="44">
        <f t="shared" si="0"/>
        <v>0.31984007996001984</v>
      </c>
      <c r="AK35" s="44">
        <f t="shared" si="1"/>
        <v>0.15145778114350641</v>
      </c>
      <c r="AL35" s="44">
        <f t="shared" si="2"/>
        <v>0.013153567905294324</v>
      </c>
      <c r="AM35" s="44">
        <f t="shared" si="3"/>
        <v>0.25998052580331055</v>
      </c>
      <c r="AN35" s="44">
        <f t="shared" si="4"/>
        <v>0.020607934054611046</v>
      </c>
      <c r="AO35" s="44">
        <f t="shared" si="13"/>
        <v>0.2859461213891593</v>
      </c>
      <c r="AP35" s="69">
        <f t="shared" si="14"/>
        <v>0.10252447192169001</v>
      </c>
      <c r="AQ35" s="69">
        <f t="shared" si="15"/>
        <v>0.04070066975785687</v>
      </c>
    </row>
    <row r="36" spans="2:43" ht="12.75">
      <c r="B36" s="14" t="s">
        <v>31</v>
      </c>
      <c r="C36" s="26">
        <v>0.2</v>
      </c>
      <c r="D36" s="26">
        <v>1.481</v>
      </c>
      <c r="E36" s="27">
        <v>0.12</v>
      </c>
      <c r="F36" s="26">
        <f t="shared" si="5"/>
        <v>1.8010000000000002</v>
      </c>
      <c r="G36" s="31">
        <v>0.24</v>
      </c>
      <c r="H36" s="31">
        <v>2.041</v>
      </c>
      <c r="I36" s="31">
        <v>0.16</v>
      </c>
      <c r="J36" s="26">
        <f t="shared" si="6"/>
        <v>2.441</v>
      </c>
      <c r="K36" s="26">
        <v>0.24</v>
      </c>
      <c r="L36" s="26">
        <v>2.361</v>
      </c>
      <c r="M36" s="26">
        <v>0.16</v>
      </c>
      <c r="N36" s="26">
        <f t="shared" si="7"/>
        <v>2.761</v>
      </c>
      <c r="O36" s="26">
        <v>0.24</v>
      </c>
      <c r="P36" s="31">
        <v>2.481</v>
      </c>
      <c r="Q36" s="31">
        <v>0.16</v>
      </c>
      <c r="R36" s="26">
        <f t="shared" si="8"/>
        <v>2.8810000000000002</v>
      </c>
      <c r="S36" s="26">
        <v>0.44</v>
      </c>
      <c r="T36" s="26">
        <v>2.642</v>
      </c>
      <c r="U36" s="26">
        <v>0.44</v>
      </c>
      <c r="V36" s="26">
        <f t="shared" si="9"/>
        <v>3.522</v>
      </c>
      <c r="W36" s="26">
        <v>0.32</v>
      </c>
      <c r="X36" s="31">
        <v>3.202</v>
      </c>
      <c r="Y36" s="31">
        <v>0.32</v>
      </c>
      <c r="Z36" s="26">
        <f t="shared" si="10"/>
        <v>3.8419999999999996</v>
      </c>
      <c r="AA36" s="72">
        <v>0.6</v>
      </c>
      <c r="AB36" s="73">
        <v>2.96</v>
      </c>
      <c r="AC36" s="84">
        <v>0.6</v>
      </c>
      <c r="AD36" s="74">
        <f t="shared" si="11"/>
        <v>4.16</v>
      </c>
      <c r="AE36" s="88">
        <v>0.48</v>
      </c>
      <c r="AF36" s="73">
        <v>2.96</v>
      </c>
      <c r="AG36" s="73">
        <v>0.48</v>
      </c>
      <c r="AH36" s="74">
        <f t="shared" si="12"/>
        <v>3.92</v>
      </c>
      <c r="AJ36" s="44">
        <f t="shared" si="0"/>
        <v>0.35535813436979435</v>
      </c>
      <c r="AK36" s="44">
        <f t="shared" si="1"/>
        <v>0.1310938140106515</v>
      </c>
      <c r="AL36" s="44">
        <f t="shared" si="2"/>
        <v>0.04346251358203553</v>
      </c>
      <c r="AM36" s="44">
        <f t="shared" si="3"/>
        <v>0.22249219021173186</v>
      </c>
      <c r="AN36" s="44">
        <f t="shared" si="4"/>
        <v>0.09085746734809763</v>
      </c>
      <c r="AO36" s="44">
        <f t="shared" si="13"/>
        <v>0.33356473446719864</v>
      </c>
      <c r="AP36" s="69">
        <f t="shared" si="14"/>
        <v>0.18114707552526985</v>
      </c>
      <c r="AQ36" s="69">
        <f t="shared" si="15"/>
        <v>0.11300397501419653</v>
      </c>
    </row>
    <row r="37" spans="2:43" ht="12.75">
      <c r="B37" s="14" t="s">
        <v>32</v>
      </c>
      <c r="C37" s="26">
        <v>0.12</v>
      </c>
      <c r="D37" s="26">
        <v>0.92</v>
      </c>
      <c r="E37" s="27">
        <v>0.08</v>
      </c>
      <c r="F37" s="26">
        <f t="shared" si="5"/>
        <v>1.12</v>
      </c>
      <c r="G37" s="31">
        <v>0.16</v>
      </c>
      <c r="H37" s="31">
        <v>1.24</v>
      </c>
      <c r="I37" s="31">
        <v>0.08</v>
      </c>
      <c r="J37" s="26">
        <f t="shared" si="6"/>
        <v>1.48</v>
      </c>
      <c r="K37" s="26">
        <v>0.16</v>
      </c>
      <c r="L37" s="26">
        <v>1.441</v>
      </c>
      <c r="M37" s="26">
        <v>0.08</v>
      </c>
      <c r="N37" s="26">
        <f t="shared" si="7"/>
        <v>1.681</v>
      </c>
      <c r="O37" s="26">
        <v>0.16</v>
      </c>
      <c r="P37" s="31">
        <v>1.521</v>
      </c>
      <c r="Q37" s="31">
        <v>0.08</v>
      </c>
      <c r="R37" s="26">
        <f t="shared" si="8"/>
        <v>1.761</v>
      </c>
      <c r="S37" s="26">
        <v>0.4</v>
      </c>
      <c r="T37" s="26">
        <v>1.681</v>
      </c>
      <c r="U37" s="26">
        <v>0.44</v>
      </c>
      <c r="V37" s="26">
        <f t="shared" si="9"/>
        <v>2.521</v>
      </c>
      <c r="W37" s="26">
        <v>0.12</v>
      </c>
      <c r="X37" s="31">
        <v>1.721</v>
      </c>
      <c r="Y37" s="31">
        <v>0.12</v>
      </c>
      <c r="Z37" s="26">
        <f t="shared" si="10"/>
        <v>1.9610000000000003</v>
      </c>
      <c r="AA37" s="72">
        <v>0.44</v>
      </c>
      <c r="AB37" s="73">
        <v>1.92</v>
      </c>
      <c r="AC37" s="84">
        <v>0.4</v>
      </c>
      <c r="AD37" s="74">
        <f t="shared" si="11"/>
        <v>2.76</v>
      </c>
      <c r="AE37" s="88">
        <v>0.32</v>
      </c>
      <c r="AF37" s="73">
        <v>1.92</v>
      </c>
      <c r="AG37" s="73">
        <v>0.28</v>
      </c>
      <c r="AH37" s="74">
        <f t="shared" si="12"/>
        <v>2.5199999999999996</v>
      </c>
      <c r="AJ37" s="44">
        <f t="shared" si="0"/>
        <v>0.3214285714285713</v>
      </c>
      <c r="AK37" s="44">
        <f t="shared" si="1"/>
        <v>0.13581081081081087</v>
      </c>
      <c r="AL37" s="44">
        <f t="shared" si="2"/>
        <v>0.04759071980963703</v>
      </c>
      <c r="AM37" s="44">
        <f t="shared" si="3"/>
        <v>0.43157296990346394</v>
      </c>
      <c r="AN37" s="44">
        <f t="shared" si="4"/>
        <v>-0.2221340737802458</v>
      </c>
      <c r="AO37" s="44">
        <f t="shared" si="13"/>
        <v>0.11357183418512232</v>
      </c>
      <c r="AP37" s="69">
        <f t="shared" si="14"/>
        <v>0.09480364934549777</v>
      </c>
      <c r="AQ37" s="69">
        <f t="shared" si="15"/>
        <v>-0.0003966679888934288</v>
      </c>
    </row>
    <row r="38" spans="2:43" ht="12.75">
      <c r="B38" s="14" t="s">
        <v>33</v>
      </c>
      <c r="C38" s="26">
        <v>0.2</v>
      </c>
      <c r="D38" s="26">
        <v>1.441</v>
      </c>
      <c r="E38" s="27">
        <v>0.24</v>
      </c>
      <c r="F38" s="26">
        <f t="shared" si="5"/>
        <v>1.881</v>
      </c>
      <c r="G38" s="31">
        <v>0.24</v>
      </c>
      <c r="H38" s="31">
        <v>2.041</v>
      </c>
      <c r="I38" s="31">
        <v>0.36</v>
      </c>
      <c r="J38" s="26">
        <f t="shared" si="6"/>
        <v>2.6409999999999996</v>
      </c>
      <c r="K38" s="26">
        <v>0.24</v>
      </c>
      <c r="L38" s="26">
        <v>2.401</v>
      </c>
      <c r="M38" s="26">
        <v>0.4</v>
      </c>
      <c r="N38" s="26">
        <f t="shared" si="7"/>
        <v>3.041</v>
      </c>
      <c r="O38" s="26">
        <v>0.24</v>
      </c>
      <c r="P38" s="31">
        <v>2.481</v>
      </c>
      <c r="Q38" s="31">
        <v>0.36</v>
      </c>
      <c r="R38" s="26">
        <f t="shared" si="8"/>
        <v>3.081</v>
      </c>
      <c r="S38" s="26">
        <v>0.44</v>
      </c>
      <c r="T38" s="26">
        <v>2.642</v>
      </c>
      <c r="U38" s="26">
        <v>0.8</v>
      </c>
      <c r="V38" s="26">
        <f t="shared" si="9"/>
        <v>3.8819999999999997</v>
      </c>
      <c r="W38" s="26">
        <v>0.32</v>
      </c>
      <c r="X38" s="31">
        <v>3</v>
      </c>
      <c r="Y38" s="31">
        <v>0.48</v>
      </c>
      <c r="Z38" s="26">
        <f t="shared" si="10"/>
        <v>3.8</v>
      </c>
      <c r="AA38" s="72">
        <v>0.6</v>
      </c>
      <c r="AB38" s="73">
        <v>2.92</v>
      </c>
      <c r="AC38" s="84">
        <v>0.76</v>
      </c>
      <c r="AD38" s="74">
        <f t="shared" si="11"/>
        <v>4.28</v>
      </c>
      <c r="AE38" s="88">
        <v>0.48</v>
      </c>
      <c r="AF38" s="73">
        <v>2.92</v>
      </c>
      <c r="AG38" s="73">
        <v>0.64</v>
      </c>
      <c r="AH38" s="74">
        <f t="shared" si="12"/>
        <v>4.04</v>
      </c>
      <c r="AJ38" s="44">
        <f aca="true" t="shared" si="16" ref="AJ38:AJ69">(J38-F38)/F38</f>
        <v>0.4040404040404038</v>
      </c>
      <c r="AK38" s="44">
        <f aca="true" t="shared" si="17" ref="AK38:AK69">(N38-J38)/J38</f>
        <v>0.15145778114350641</v>
      </c>
      <c r="AL38" s="44">
        <f aca="true" t="shared" si="18" ref="AL38:AL69">(R38-N38)/N38</f>
        <v>0.013153567905294324</v>
      </c>
      <c r="AM38" s="44">
        <f aca="true" t="shared" si="19" ref="AM38:AM69">(V38-R38)/R38</f>
        <v>0.25998052580331055</v>
      </c>
      <c r="AN38" s="44">
        <f aca="true" t="shared" si="20" ref="AN38:AN69">(Z38-V38)/V38</f>
        <v>-0.021123132405976266</v>
      </c>
      <c r="AO38" s="44">
        <f t="shared" si="13"/>
        <v>0.2333657903278156</v>
      </c>
      <c r="AP38" s="69">
        <f t="shared" si="14"/>
        <v>0.10252447192169001</v>
      </c>
      <c r="AQ38" s="69">
        <f t="shared" si="15"/>
        <v>0.04070066975785687</v>
      </c>
    </row>
    <row r="39" spans="2:43" ht="12.75">
      <c r="B39" s="14" t="s">
        <v>34</v>
      </c>
      <c r="C39" s="26">
        <v>0.32</v>
      </c>
      <c r="D39" s="26">
        <v>1.441</v>
      </c>
      <c r="E39" s="27">
        <v>0.28</v>
      </c>
      <c r="F39" s="26">
        <f t="shared" si="5"/>
        <v>2.0410000000000004</v>
      </c>
      <c r="G39" s="31">
        <v>0.36</v>
      </c>
      <c r="H39" s="31">
        <v>2.041</v>
      </c>
      <c r="I39" s="31">
        <v>0.32</v>
      </c>
      <c r="J39" s="26">
        <f t="shared" si="6"/>
        <v>2.7209999999999996</v>
      </c>
      <c r="K39" s="26">
        <v>0.4</v>
      </c>
      <c r="L39" s="26">
        <v>2.361</v>
      </c>
      <c r="M39" s="26">
        <v>0.36</v>
      </c>
      <c r="N39" s="26">
        <f t="shared" si="7"/>
        <v>3.121</v>
      </c>
      <c r="O39" s="26">
        <v>0.36</v>
      </c>
      <c r="P39" s="31">
        <v>2.481</v>
      </c>
      <c r="Q39" s="31">
        <v>0.32</v>
      </c>
      <c r="R39" s="26">
        <f t="shared" si="8"/>
        <v>3.1609999999999996</v>
      </c>
      <c r="S39" s="26">
        <v>0.8</v>
      </c>
      <c r="T39" s="26">
        <v>2.642</v>
      </c>
      <c r="U39" s="26">
        <v>0.8</v>
      </c>
      <c r="V39" s="26">
        <f t="shared" si="9"/>
        <v>4.242</v>
      </c>
      <c r="W39" s="26">
        <v>0.48</v>
      </c>
      <c r="X39" s="31">
        <v>2.962</v>
      </c>
      <c r="Y39" s="31">
        <v>0.48</v>
      </c>
      <c r="Z39" s="26">
        <f t="shared" si="10"/>
        <v>3.922</v>
      </c>
      <c r="AA39" s="72">
        <v>0.76</v>
      </c>
      <c r="AB39" s="73">
        <v>2.76</v>
      </c>
      <c r="AC39" s="84">
        <v>0.76</v>
      </c>
      <c r="AD39" s="74">
        <f t="shared" si="11"/>
        <v>4.279999999999999</v>
      </c>
      <c r="AE39" s="88">
        <v>0.64</v>
      </c>
      <c r="AF39" s="73">
        <v>2.76</v>
      </c>
      <c r="AG39" s="73">
        <v>0.64</v>
      </c>
      <c r="AH39" s="74">
        <f t="shared" si="12"/>
        <v>4.04</v>
      </c>
      <c r="AJ39" s="44">
        <f t="shared" si="16"/>
        <v>0.3331700146986767</v>
      </c>
      <c r="AK39" s="44">
        <f t="shared" si="17"/>
        <v>0.14700477765527395</v>
      </c>
      <c r="AL39" s="44">
        <f t="shared" si="18"/>
        <v>0.01281640499839782</v>
      </c>
      <c r="AM39" s="44">
        <f t="shared" si="19"/>
        <v>0.34198038595381225</v>
      </c>
      <c r="AN39" s="44">
        <f t="shared" si="20"/>
        <v>-0.0754361150400754</v>
      </c>
      <c r="AO39" s="44">
        <f t="shared" si="13"/>
        <v>0.2407465991774757</v>
      </c>
      <c r="AP39" s="69">
        <f t="shared" si="14"/>
        <v>0.008958038661008808</v>
      </c>
      <c r="AQ39" s="69">
        <f t="shared" si="15"/>
        <v>-0.04761904761904761</v>
      </c>
    </row>
    <row r="40" spans="2:43" ht="12.75">
      <c r="B40" s="14" t="s">
        <v>35</v>
      </c>
      <c r="C40" s="26">
        <v>0.32</v>
      </c>
      <c r="D40" s="26">
        <v>0.52</v>
      </c>
      <c r="E40" s="27">
        <v>0.32</v>
      </c>
      <c r="F40" s="26">
        <f t="shared" si="5"/>
        <v>1.1600000000000001</v>
      </c>
      <c r="G40" s="31">
        <v>0.36</v>
      </c>
      <c r="H40" s="31">
        <v>0.56</v>
      </c>
      <c r="I40" s="31">
        <v>0.36</v>
      </c>
      <c r="J40" s="26">
        <f t="shared" si="6"/>
        <v>1.28</v>
      </c>
      <c r="K40" s="26">
        <v>0.4</v>
      </c>
      <c r="L40" s="26">
        <v>0.64</v>
      </c>
      <c r="M40" s="26">
        <v>0.4</v>
      </c>
      <c r="N40" s="26">
        <f t="shared" si="7"/>
        <v>1.44</v>
      </c>
      <c r="O40" s="26">
        <v>0.36</v>
      </c>
      <c r="P40" s="31">
        <v>0.72</v>
      </c>
      <c r="Q40" s="31">
        <v>0.36</v>
      </c>
      <c r="R40" s="26">
        <f t="shared" si="8"/>
        <v>1.44</v>
      </c>
      <c r="S40" s="26">
        <v>0.8</v>
      </c>
      <c r="T40" s="26">
        <v>0.8</v>
      </c>
      <c r="U40" s="26">
        <v>0.8</v>
      </c>
      <c r="V40" s="26">
        <f t="shared" si="9"/>
        <v>2.4000000000000004</v>
      </c>
      <c r="W40" s="26">
        <v>0.48</v>
      </c>
      <c r="X40" s="31">
        <v>0.76</v>
      </c>
      <c r="Y40" s="31">
        <v>0.48</v>
      </c>
      <c r="Z40" s="26">
        <f t="shared" si="10"/>
        <v>1.72</v>
      </c>
      <c r="AA40" s="72">
        <v>0.68</v>
      </c>
      <c r="AB40" s="73">
        <v>0.92</v>
      </c>
      <c r="AC40" s="84">
        <v>0.68</v>
      </c>
      <c r="AD40" s="74">
        <f t="shared" si="11"/>
        <v>2.2800000000000002</v>
      </c>
      <c r="AE40" s="88">
        <v>0.56</v>
      </c>
      <c r="AF40" s="73">
        <v>0.92</v>
      </c>
      <c r="AG40" s="73">
        <v>0.56</v>
      </c>
      <c r="AH40" s="74">
        <f t="shared" si="12"/>
        <v>2.04</v>
      </c>
      <c r="AJ40" s="44">
        <f t="shared" si="16"/>
        <v>0.10344827586206885</v>
      </c>
      <c r="AK40" s="44">
        <f t="shared" si="17"/>
        <v>0.12499999999999993</v>
      </c>
      <c r="AL40" s="44">
        <f t="shared" si="18"/>
        <v>0</v>
      </c>
      <c r="AM40" s="44">
        <f t="shared" si="19"/>
        <v>0.666666666666667</v>
      </c>
      <c r="AN40" s="44">
        <f t="shared" si="20"/>
        <v>-0.28333333333333344</v>
      </c>
      <c r="AO40" s="44">
        <f t="shared" si="13"/>
        <v>0.19444444444444448</v>
      </c>
      <c r="AP40" s="69">
        <f t="shared" si="14"/>
        <v>-0.05000000000000004</v>
      </c>
      <c r="AQ40" s="69">
        <f t="shared" si="15"/>
        <v>-0.1500000000000001</v>
      </c>
    </row>
    <row r="41" spans="2:43" ht="12.75">
      <c r="B41" s="14" t="s">
        <v>36</v>
      </c>
      <c r="C41" s="26">
        <v>0</v>
      </c>
      <c r="D41" s="26">
        <v>0.92</v>
      </c>
      <c r="E41" s="27">
        <v>0.32</v>
      </c>
      <c r="F41" s="26">
        <f t="shared" si="5"/>
        <v>1.24</v>
      </c>
      <c r="G41" s="31">
        <v>0</v>
      </c>
      <c r="H41" s="31">
        <v>1.16</v>
      </c>
      <c r="I41" s="31">
        <v>0.36</v>
      </c>
      <c r="J41" s="26">
        <f t="shared" si="6"/>
        <v>1.52</v>
      </c>
      <c r="K41" s="26">
        <v>0</v>
      </c>
      <c r="L41" s="46">
        <v>1.18</v>
      </c>
      <c r="M41" s="31">
        <v>0.4</v>
      </c>
      <c r="N41" s="26">
        <f t="shared" si="7"/>
        <v>1.58</v>
      </c>
      <c r="O41" s="26">
        <v>0</v>
      </c>
      <c r="P41" s="31">
        <v>1.2</v>
      </c>
      <c r="Q41" s="46">
        <v>0.44</v>
      </c>
      <c r="R41" s="26">
        <f t="shared" si="8"/>
        <v>1.64</v>
      </c>
      <c r="S41" s="26">
        <v>0.08</v>
      </c>
      <c r="T41" s="26">
        <v>1.481</v>
      </c>
      <c r="U41" s="26">
        <v>0.8</v>
      </c>
      <c r="V41" s="26">
        <f t="shared" si="9"/>
        <v>2.361</v>
      </c>
      <c r="W41" s="26">
        <v>0.04</v>
      </c>
      <c r="X41" s="31">
        <v>1.24</v>
      </c>
      <c r="Y41" s="31">
        <v>0.48</v>
      </c>
      <c r="Z41" s="26">
        <f t="shared" si="10"/>
        <v>1.76</v>
      </c>
      <c r="AA41" s="72">
        <v>-0.12</v>
      </c>
      <c r="AB41" s="73">
        <v>1.76</v>
      </c>
      <c r="AC41" s="84">
        <v>0.68</v>
      </c>
      <c r="AD41" s="74">
        <f t="shared" si="11"/>
        <v>2.3200000000000003</v>
      </c>
      <c r="AE41" s="88">
        <v>-0.24</v>
      </c>
      <c r="AF41" s="73">
        <v>1.76</v>
      </c>
      <c r="AG41" s="73">
        <v>0.56</v>
      </c>
      <c r="AH41" s="74">
        <f t="shared" si="12"/>
        <v>2.08</v>
      </c>
      <c r="AJ41" s="44">
        <f t="shared" si="16"/>
        <v>0.22580645161290325</v>
      </c>
      <c r="AK41" s="44">
        <f t="shared" si="17"/>
        <v>0.03947368421052635</v>
      </c>
      <c r="AL41" s="44">
        <f t="shared" si="18"/>
        <v>0.03797468354430369</v>
      </c>
      <c r="AM41" s="44">
        <f t="shared" si="19"/>
        <v>0.43963414634146364</v>
      </c>
      <c r="AN41" s="44">
        <f t="shared" si="20"/>
        <v>-0.25455315544260915</v>
      </c>
      <c r="AO41" s="44">
        <f t="shared" si="13"/>
        <v>0.07317073170731714</v>
      </c>
      <c r="AP41" s="69">
        <f t="shared" si="14"/>
        <v>-0.017365523083439187</v>
      </c>
      <c r="AQ41" s="69">
        <f t="shared" si="15"/>
        <v>-0.1190173655230835</v>
      </c>
    </row>
    <row r="42" spans="2:43" ht="12.75">
      <c r="B42" s="14" t="s">
        <v>37</v>
      </c>
      <c r="C42" s="26">
        <v>0.32</v>
      </c>
      <c r="D42" s="26">
        <v>1.601</v>
      </c>
      <c r="E42" s="27">
        <v>0.08</v>
      </c>
      <c r="F42" s="26">
        <f t="shared" si="5"/>
        <v>2.001</v>
      </c>
      <c r="G42" s="31">
        <v>0.36</v>
      </c>
      <c r="H42" s="31">
        <v>2.161</v>
      </c>
      <c r="I42" s="31">
        <v>0.08</v>
      </c>
      <c r="J42" s="26">
        <f t="shared" si="6"/>
        <v>2.601</v>
      </c>
      <c r="K42" s="26">
        <v>0.4</v>
      </c>
      <c r="L42" s="26">
        <v>2.561</v>
      </c>
      <c r="M42" s="26">
        <v>0.08</v>
      </c>
      <c r="N42" s="26">
        <f t="shared" si="7"/>
        <v>3.041</v>
      </c>
      <c r="O42" s="26">
        <v>0.36</v>
      </c>
      <c r="P42" s="47">
        <v>2.682</v>
      </c>
      <c r="Q42" s="47">
        <v>0.08</v>
      </c>
      <c r="R42" s="26">
        <f t="shared" si="8"/>
        <v>3.122</v>
      </c>
      <c r="S42" s="26">
        <v>0.8</v>
      </c>
      <c r="T42" s="26">
        <v>2.642</v>
      </c>
      <c r="U42" s="26">
        <v>0.44</v>
      </c>
      <c r="V42" s="26">
        <f t="shared" si="9"/>
        <v>3.882</v>
      </c>
      <c r="W42" s="26">
        <v>0.48</v>
      </c>
      <c r="X42" s="31">
        <v>2.802</v>
      </c>
      <c r="Y42" s="31">
        <v>0.12</v>
      </c>
      <c r="Z42" s="26">
        <f t="shared" si="10"/>
        <v>3.402</v>
      </c>
      <c r="AA42" s="72">
        <v>0.76</v>
      </c>
      <c r="AB42" s="73">
        <v>2.84</v>
      </c>
      <c r="AC42" s="84">
        <v>0.28</v>
      </c>
      <c r="AD42" s="74">
        <f t="shared" si="11"/>
        <v>3.88</v>
      </c>
      <c r="AE42" s="88">
        <v>0.64</v>
      </c>
      <c r="AF42" s="73">
        <v>2.84</v>
      </c>
      <c r="AG42" s="73">
        <v>0.16</v>
      </c>
      <c r="AH42" s="74">
        <f t="shared" si="12"/>
        <v>3.64</v>
      </c>
      <c r="AJ42" s="44">
        <f t="shared" si="16"/>
        <v>0.2998500749625188</v>
      </c>
      <c r="AK42" s="44">
        <f t="shared" si="17"/>
        <v>0.1691657054978854</v>
      </c>
      <c r="AL42" s="44">
        <f t="shared" si="18"/>
        <v>0.02663597500822097</v>
      </c>
      <c r="AM42" s="44">
        <f t="shared" si="19"/>
        <v>0.24343369634849463</v>
      </c>
      <c r="AN42" s="44">
        <f t="shared" si="20"/>
        <v>-0.12364760432766614</v>
      </c>
      <c r="AO42" s="44">
        <f t="shared" si="13"/>
        <v>0.0896860986547086</v>
      </c>
      <c r="AP42" s="69">
        <f t="shared" si="14"/>
        <v>-0.0005151983513653332</v>
      </c>
      <c r="AQ42" s="69">
        <f t="shared" si="15"/>
        <v>-0.06233900051519835</v>
      </c>
    </row>
    <row r="43" spans="2:43" ht="12.75">
      <c r="B43" s="14" t="s">
        <v>38</v>
      </c>
      <c r="C43" s="26">
        <v>0.32</v>
      </c>
      <c r="D43" s="26">
        <v>0.52</v>
      </c>
      <c r="E43" s="27">
        <v>0.32</v>
      </c>
      <c r="F43" s="26">
        <f t="shared" si="5"/>
        <v>1.1600000000000001</v>
      </c>
      <c r="G43" s="31">
        <v>0.36</v>
      </c>
      <c r="H43" s="31">
        <v>0.56</v>
      </c>
      <c r="I43" s="31">
        <v>0.36</v>
      </c>
      <c r="J43" s="26">
        <f t="shared" si="6"/>
        <v>1.28</v>
      </c>
      <c r="K43" s="26">
        <v>0.4</v>
      </c>
      <c r="L43" s="26">
        <v>0.64</v>
      </c>
      <c r="M43" s="26">
        <v>0.4</v>
      </c>
      <c r="N43" s="26">
        <f t="shared" si="7"/>
        <v>1.44</v>
      </c>
      <c r="O43" s="26">
        <v>0.36</v>
      </c>
      <c r="P43" s="31">
        <v>0.72</v>
      </c>
      <c r="Q43" s="31">
        <v>0.36</v>
      </c>
      <c r="R43" s="26">
        <f t="shared" si="8"/>
        <v>1.44</v>
      </c>
      <c r="S43" s="26">
        <v>0.8</v>
      </c>
      <c r="T43" s="26">
        <v>0.8</v>
      </c>
      <c r="U43" s="26">
        <v>0.8</v>
      </c>
      <c r="V43" s="26">
        <f t="shared" si="9"/>
        <v>2.4000000000000004</v>
      </c>
      <c r="W43" s="26">
        <v>0.48</v>
      </c>
      <c r="X43" s="31">
        <v>0.76</v>
      </c>
      <c r="Y43" s="31">
        <v>0.48</v>
      </c>
      <c r="Z43" s="26">
        <f t="shared" si="10"/>
        <v>1.72</v>
      </c>
      <c r="AA43" s="72">
        <v>0.76</v>
      </c>
      <c r="AB43" s="73">
        <v>1.28</v>
      </c>
      <c r="AC43" s="84">
        <v>0.44</v>
      </c>
      <c r="AD43" s="74">
        <f t="shared" si="11"/>
        <v>2.48</v>
      </c>
      <c r="AE43" s="88">
        <v>0.64</v>
      </c>
      <c r="AF43" s="73">
        <v>1.28</v>
      </c>
      <c r="AG43" s="73">
        <v>0.32</v>
      </c>
      <c r="AH43" s="74">
        <f t="shared" si="12"/>
        <v>2.2399999999999998</v>
      </c>
      <c r="AJ43" s="44">
        <f t="shared" si="16"/>
        <v>0.10344827586206885</v>
      </c>
      <c r="AK43" s="44">
        <f t="shared" si="17"/>
        <v>0.12499999999999993</v>
      </c>
      <c r="AL43" s="44">
        <f t="shared" si="18"/>
        <v>0</v>
      </c>
      <c r="AM43" s="44">
        <f t="shared" si="19"/>
        <v>0.666666666666667</v>
      </c>
      <c r="AN43" s="44">
        <f t="shared" si="20"/>
        <v>-0.28333333333333344</v>
      </c>
      <c r="AO43" s="44">
        <f t="shared" si="13"/>
        <v>0.19444444444444448</v>
      </c>
      <c r="AP43" s="69">
        <f t="shared" si="14"/>
        <v>0.03333333333333317</v>
      </c>
      <c r="AQ43" s="69">
        <f t="shared" si="15"/>
        <v>-0.0666666666666669</v>
      </c>
    </row>
    <row r="44" spans="2:43" ht="12.75">
      <c r="B44" s="14" t="s">
        <v>39</v>
      </c>
      <c r="C44" s="26">
        <v>0.32</v>
      </c>
      <c r="D44" s="26">
        <v>2.361</v>
      </c>
      <c r="E44" s="27">
        <v>0.28</v>
      </c>
      <c r="F44" s="26">
        <f t="shared" si="5"/>
        <v>2.9610000000000003</v>
      </c>
      <c r="G44" s="31">
        <v>0.36</v>
      </c>
      <c r="H44" s="31">
        <v>3.362</v>
      </c>
      <c r="I44" s="31">
        <v>0.32</v>
      </c>
      <c r="J44" s="26">
        <f t="shared" si="6"/>
        <v>4.042</v>
      </c>
      <c r="K44" s="26">
        <v>0.4</v>
      </c>
      <c r="L44" s="26">
        <v>3.963</v>
      </c>
      <c r="M44" s="26">
        <v>0.36</v>
      </c>
      <c r="N44" s="26">
        <f t="shared" si="7"/>
        <v>4.723000000000001</v>
      </c>
      <c r="O44" s="26">
        <v>0.36</v>
      </c>
      <c r="P44" s="31">
        <v>4.163</v>
      </c>
      <c r="Q44" s="31">
        <v>0.32</v>
      </c>
      <c r="R44" s="26">
        <f t="shared" si="8"/>
        <v>4.843000000000001</v>
      </c>
      <c r="S44" s="26">
        <v>0.8</v>
      </c>
      <c r="T44" s="26">
        <v>4.403</v>
      </c>
      <c r="U44" s="26">
        <v>0.8</v>
      </c>
      <c r="V44" s="26">
        <f t="shared" si="9"/>
        <v>6.002999999999999</v>
      </c>
      <c r="W44" s="26">
        <v>0.48</v>
      </c>
      <c r="X44" s="31">
        <v>4.723</v>
      </c>
      <c r="Y44" s="31">
        <v>0.48</v>
      </c>
      <c r="Z44" s="26">
        <f t="shared" si="10"/>
        <v>5.683</v>
      </c>
      <c r="AA44" s="72">
        <v>0.76</v>
      </c>
      <c r="AB44" s="73">
        <v>4.52</v>
      </c>
      <c r="AC44" s="84">
        <v>0.76</v>
      </c>
      <c r="AD44" s="74">
        <f t="shared" si="11"/>
        <v>6.039999999999999</v>
      </c>
      <c r="AE44" s="88">
        <v>0.64</v>
      </c>
      <c r="AF44" s="73">
        <v>4.52</v>
      </c>
      <c r="AG44" s="73">
        <v>0.64</v>
      </c>
      <c r="AH44" s="74">
        <f t="shared" si="12"/>
        <v>5.799999999999999</v>
      </c>
      <c r="AJ44" s="44">
        <f t="shared" si="16"/>
        <v>0.3650793650793649</v>
      </c>
      <c r="AK44" s="44">
        <f t="shared" si="17"/>
        <v>0.16848095002474048</v>
      </c>
      <c r="AL44" s="44">
        <f t="shared" si="18"/>
        <v>0.025407579928011875</v>
      </c>
      <c r="AM44" s="44">
        <f t="shared" si="19"/>
        <v>0.23952095808383195</v>
      </c>
      <c r="AN44" s="44">
        <f t="shared" si="20"/>
        <v>-0.05330667999333657</v>
      </c>
      <c r="AO44" s="44">
        <f t="shared" si="13"/>
        <v>0.17344621102622318</v>
      </c>
      <c r="AP44" s="69">
        <f t="shared" si="14"/>
        <v>0.00616358487422954</v>
      </c>
      <c r="AQ44" s="69">
        <f t="shared" si="15"/>
        <v>-0.033816425120773</v>
      </c>
    </row>
    <row r="45" spans="2:43" ht="12.75">
      <c r="B45" s="14" t="s">
        <v>40</v>
      </c>
      <c r="C45" s="26">
        <v>0.32</v>
      </c>
      <c r="D45" s="26">
        <v>1.441</v>
      </c>
      <c r="E45" s="27">
        <v>0.28</v>
      </c>
      <c r="F45" s="26">
        <f t="shared" si="5"/>
        <v>2.0410000000000004</v>
      </c>
      <c r="G45" s="31">
        <v>0.36</v>
      </c>
      <c r="H45" s="31">
        <v>2.041</v>
      </c>
      <c r="I45" s="31">
        <v>0.32</v>
      </c>
      <c r="J45" s="26">
        <f t="shared" si="6"/>
        <v>2.7209999999999996</v>
      </c>
      <c r="K45" s="26">
        <v>0.4</v>
      </c>
      <c r="L45" s="26">
        <v>2.361</v>
      </c>
      <c r="M45" s="26">
        <v>0.36</v>
      </c>
      <c r="N45" s="26">
        <f t="shared" si="7"/>
        <v>3.121</v>
      </c>
      <c r="O45" s="26">
        <v>0.36</v>
      </c>
      <c r="P45" s="31">
        <v>2.481</v>
      </c>
      <c r="Q45" s="31">
        <v>0.32</v>
      </c>
      <c r="R45" s="26">
        <f t="shared" si="8"/>
        <v>3.1609999999999996</v>
      </c>
      <c r="S45" s="26">
        <v>0.8</v>
      </c>
      <c r="T45" s="26">
        <v>2.642</v>
      </c>
      <c r="U45" s="26">
        <v>0.8</v>
      </c>
      <c r="V45" s="26">
        <f t="shared" si="9"/>
        <v>4.242</v>
      </c>
      <c r="W45" s="26">
        <v>0.48</v>
      </c>
      <c r="X45" s="31">
        <v>2.962</v>
      </c>
      <c r="Y45" s="31">
        <v>0.48</v>
      </c>
      <c r="Z45" s="26">
        <f t="shared" si="10"/>
        <v>3.922</v>
      </c>
      <c r="AA45" s="72">
        <v>0.76</v>
      </c>
      <c r="AB45" s="73">
        <v>2.76</v>
      </c>
      <c r="AC45" s="84">
        <v>0.76</v>
      </c>
      <c r="AD45" s="74">
        <f t="shared" si="11"/>
        <v>4.279999999999999</v>
      </c>
      <c r="AE45" s="88">
        <v>0.64</v>
      </c>
      <c r="AF45" s="73">
        <v>2.76</v>
      </c>
      <c r="AG45" s="73">
        <v>0.64</v>
      </c>
      <c r="AH45" s="74">
        <f t="shared" si="12"/>
        <v>4.04</v>
      </c>
      <c r="AJ45" s="44">
        <f t="shared" si="16"/>
        <v>0.3331700146986767</v>
      </c>
      <c r="AK45" s="44">
        <f t="shared" si="17"/>
        <v>0.14700477765527395</v>
      </c>
      <c r="AL45" s="44">
        <f t="shared" si="18"/>
        <v>0.01281640499839782</v>
      </c>
      <c r="AM45" s="44">
        <f t="shared" si="19"/>
        <v>0.34198038595381225</v>
      </c>
      <c r="AN45" s="44">
        <f t="shared" si="20"/>
        <v>-0.0754361150400754</v>
      </c>
      <c r="AO45" s="44">
        <f t="shared" si="13"/>
        <v>0.2407465991774757</v>
      </c>
      <c r="AP45" s="69">
        <f t="shared" si="14"/>
        <v>0.008958038661008808</v>
      </c>
      <c r="AQ45" s="69">
        <f t="shared" si="15"/>
        <v>-0.04761904761904761</v>
      </c>
    </row>
    <row r="46" spans="2:43" ht="12.75">
      <c r="B46" s="14" t="s">
        <v>1</v>
      </c>
      <c r="C46" s="26">
        <v>0.2</v>
      </c>
      <c r="D46" s="26">
        <v>1.481</v>
      </c>
      <c r="E46" s="27">
        <v>0.2</v>
      </c>
      <c r="F46" s="26">
        <f t="shared" si="5"/>
        <v>1.881</v>
      </c>
      <c r="G46" s="31">
        <v>0.24</v>
      </c>
      <c r="H46" s="31">
        <v>2.041</v>
      </c>
      <c r="I46" s="31">
        <v>0.24</v>
      </c>
      <c r="J46" s="26">
        <f t="shared" si="6"/>
        <v>2.521</v>
      </c>
      <c r="K46" s="26">
        <v>0.24</v>
      </c>
      <c r="L46" s="26">
        <v>2.441</v>
      </c>
      <c r="M46" s="31">
        <v>0.24</v>
      </c>
      <c r="N46" s="26">
        <f t="shared" si="7"/>
        <v>2.9210000000000003</v>
      </c>
      <c r="O46" s="26">
        <v>0.24</v>
      </c>
      <c r="P46" s="31">
        <v>2.561</v>
      </c>
      <c r="Q46" s="31">
        <v>0.24</v>
      </c>
      <c r="R46" s="26">
        <f t="shared" si="8"/>
        <v>3.0410000000000004</v>
      </c>
      <c r="S46" s="26">
        <v>0.44</v>
      </c>
      <c r="T46" s="26">
        <v>2.722</v>
      </c>
      <c r="U46" s="31">
        <v>0.44</v>
      </c>
      <c r="V46" s="26">
        <f t="shared" si="9"/>
        <v>3.602</v>
      </c>
      <c r="W46" s="26">
        <v>0.32</v>
      </c>
      <c r="X46" s="31">
        <v>3.202</v>
      </c>
      <c r="Y46" s="31">
        <v>0.32</v>
      </c>
      <c r="Z46" s="26">
        <f t="shared" si="10"/>
        <v>3.8419999999999996</v>
      </c>
      <c r="AA46" s="75">
        <v>0.6</v>
      </c>
      <c r="AB46" s="76">
        <v>3.08</v>
      </c>
      <c r="AC46" s="85">
        <v>0.6</v>
      </c>
      <c r="AD46" s="74">
        <f t="shared" si="11"/>
        <v>4.28</v>
      </c>
      <c r="AE46" s="88">
        <v>0.48</v>
      </c>
      <c r="AF46" s="73">
        <v>3.08</v>
      </c>
      <c r="AG46" s="77">
        <v>0.48</v>
      </c>
      <c r="AH46" s="74">
        <f t="shared" si="12"/>
        <v>4.04</v>
      </c>
      <c r="AJ46" s="44">
        <f t="shared" si="16"/>
        <v>0.3402445507708665</v>
      </c>
      <c r="AK46" s="44">
        <f t="shared" si="17"/>
        <v>0.15866719555731867</v>
      </c>
      <c r="AL46" s="44">
        <f t="shared" si="18"/>
        <v>0.041081821294077406</v>
      </c>
      <c r="AM46" s="44">
        <f t="shared" si="19"/>
        <v>0.18447878987175254</v>
      </c>
      <c r="AN46" s="44">
        <f t="shared" si="20"/>
        <v>0.06662965019433642</v>
      </c>
      <c r="AO46" s="44">
        <f t="shared" si="13"/>
        <v>0.2634001973035183</v>
      </c>
      <c r="AP46" s="69">
        <f t="shared" si="14"/>
        <v>0.18822876179900067</v>
      </c>
      <c r="AQ46" s="69">
        <f t="shared" si="15"/>
        <v>0.12159911160466412</v>
      </c>
    </row>
    <row r="47" spans="2:43" ht="12.75">
      <c r="B47" s="14" t="s">
        <v>41</v>
      </c>
      <c r="C47" s="26">
        <v>0.32</v>
      </c>
      <c r="D47" s="26">
        <v>1.481</v>
      </c>
      <c r="E47" s="27">
        <v>0.2</v>
      </c>
      <c r="F47" s="26">
        <f t="shared" si="5"/>
        <v>2.0010000000000003</v>
      </c>
      <c r="G47" s="31">
        <v>0.36</v>
      </c>
      <c r="H47" s="31">
        <v>2.041</v>
      </c>
      <c r="I47" s="31">
        <v>0.24</v>
      </c>
      <c r="J47" s="26">
        <f t="shared" si="6"/>
        <v>2.641</v>
      </c>
      <c r="K47" s="26">
        <v>0.4</v>
      </c>
      <c r="L47" s="26">
        <v>2.401</v>
      </c>
      <c r="M47" s="31">
        <v>0.24</v>
      </c>
      <c r="N47" s="26">
        <f t="shared" si="7"/>
        <v>3.0409999999999995</v>
      </c>
      <c r="O47" s="26">
        <v>0.36</v>
      </c>
      <c r="P47" s="31">
        <v>2.481</v>
      </c>
      <c r="Q47" s="31">
        <v>0.24</v>
      </c>
      <c r="R47" s="26">
        <f t="shared" si="8"/>
        <v>3.0809999999999995</v>
      </c>
      <c r="S47" s="26">
        <v>0.8</v>
      </c>
      <c r="T47" s="26">
        <v>2.642</v>
      </c>
      <c r="U47" s="31">
        <v>0.44</v>
      </c>
      <c r="V47" s="26">
        <f t="shared" si="9"/>
        <v>3.882</v>
      </c>
      <c r="W47" s="26">
        <v>0.48</v>
      </c>
      <c r="X47" s="31">
        <v>3.162</v>
      </c>
      <c r="Y47" s="31">
        <v>0.32</v>
      </c>
      <c r="Z47" s="26">
        <f t="shared" si="10"/>
        <v>3.9619999999999997</v>
      </c>
      <c r="AA47" s="75">
        <v>0.76</v>
      </c>
      <c r="AB47" s="76">
        <v>2.92</v>
      </c>
      <c r="AC47" s="85">
        <v>0.6</v>
      </c>
      <c r="AD47" s="74">
        <f t="shared" si="11"/>
        <v>4.279999999999999</v>
      </c>
      <c r="AE47" s="88">
        <v>0.64</v>
      </c>
      <c r="AF47" s="73">
        <v>2.92</v>
      </c>
      <c r="AG47" s="77">
        <v>0.48</v>
      </c>
      <c r="AH47" s="74">
        <f t="shared" si="12"/>
        <v>4.04</v>
      </c>
      <c r="AJ47" s="44">
        <f t="shared" si="16"/>
        <v>0.3198400799600198</v>
      </c>
      <c r="AK47" s="44">
        <f t="shared" si="17"/>
        <v>0.15145778114350605</v>
      </c>
      <c r="AL47" s="44">
        <f t="shared" si="18"/>
        <v>0.013153567905294325</v>
      </c>
      <c r="AM47" s="44">
        <f t="shared" si="19"/>
        <v>0.2599805258033108</v>
      </c>
      <c r="AN47" s="44">
        <f t="shared" si="20"/>
        <v>0.020607934054610928</v>
      </c>
      <c r="AO47" s="44">
        <f t="shared" si="13"/>
        <v>0.2859461213891595</v>
      </c>
      <c r="AP47" s="69">
        <f t="shared" si="14"/>
        <v>0.10252447192168965</v>
      </c>
      <c r="AQ47" s="69">
        <f t="shared" si="15"/>
        <v>0.04070066975785675</v>
      </c>
    </row>
    <row r="48" spans="2:43" ht="12.75">
      <c r="B48" s="14" t="s">
        <v>42</v>
      </c>
      <c r="C48" s="26">
        <v>0.2</v>
      </c>
      <c r="D48" s="26">
        <v>1.481</v>
      </c>
      <c r="E48" s="27">
        <v>0.32</v>
      </c>
      <c r="F48" s="26">
        <f t="shared" si="5"/>
        <v>2.001</v>
      </c>
      <c r="G48" s="31">
        <v>0.24</v>
      </c>
      <c r="H48" s="31">
        <v>2.041</v>
      </c>
      <c r="I48" s="31">
        <v>0.36</v>
      </c>
      <c r="J48" s="26">
        <f t="shared" si="6"/>
        <v>2.6409999999999996</v>
      </c>
      <c r="K48" s="26">
        <v>0.24</v>
      </c>
      <c r="L48" s="26">
        <v>2.401</v>
      </c>
      <c r="M48" s="31">
        <v>0.4</v>
      </c>
      <c r="N48" s="26">
        <f t="shared" si="7"/>
        <v>3.041</v>
      </c>
      <c r="O48" s="26">
        <v>0.24</v>
      </c>
      <c r="P48" s="31">
        <v>2.481</v>
      </c>
      <c r="Q48" s="31">
        <v>0.36</v>
      </c>
      <c r="R48" s="26">
        <f t="shared" si="8"/>
        <v>3.081</v>
      </c>
      <c r="S48" s="26">
        <v>0.44</v>
      </c>
      <c r="T48" s="26">
        <v>2.642</v>
      </c>
      <c r="U48" s="31">
        <v>0.8</v>
      </c>
      <c r="V48" s="26">
        <f t="shared" si="9"/>
        <v>3.8819999999999997</v>
      </c>
      <c r="W48" s="26">
        <v>0.32</v>
      </c>
      <c r="X48" s="31">
        <v>3.162</v>
      </c>
      <c r="Y48" s="31">
        <v>0.48</v>
      </c>
      <c r="Z48" s="26">
        <f t="shared" si="10"/>
        <v>3.9619999999999997</v>
      </c>
      <c r="AA48" s="75">
        <v>0.6</v>
      </c>
      <c r="AB48" s="76">
        <v>3.2</v>
      </c>
      <c r="AC48" s="85">
        <v>0.48</v>
      </c>
      <c r="AD48" s="74">
        <f t="shared" si="11"/>
        <v>4.28</v>
      </c>
      <c r="AE48" s="88">
        <v>0.48</v>
      </c>
      <c r="AF48" s="73">
        <v>3.2</v>
      </c>
      <c r="AG48" s="77">
        <v>0.36</v>
      </c>
      <c r="AH48" s="74">
        <f t="shared" si="12"/>
        <v>4.04</v>
      </c>
      <c r="AJ48" s="44">
        <f t="shared" si="16"/>
        <v>0.31984007996001984</v>
      </c>
      <c r="AK48" s="44">
        <f t="shared" si="17"/>
        <v>0.15145778114350641</v>
      </c>
      <c r="AL48" s="44">
        <f t="shared" si="18"/>
        <v>0.013153567905294324</v>
      </c>
      <c r="AM48" s="44">
        <f t="shared" si="19"/>
        <v>0.25998052580331055</v>
      </c>
      <c r="AN48" s="44">
        <f t="shared" si="20"/>
        <v>0.020607934054611046</v>
      </c>
      <c r="AO48" s="44">
        <f t="shared" si="13"/>
        <v>0.2859461213891593</v>
      </c>
      <c r="AP48" s="69">
        <f t="shared" si="14"/>
        <v>0.10252447192169001</v>
      </c>
      <c r="AQ48" s="69">
        <f t="shared" si="15"/>
        <v>0.04070066975785687</v>
      </c>
    </row>
    <row r="49" spans="2:43" ht="12.75">
      <c r="B49" s="14" t="s">
        <v>43</v>
      </c>
      <c r="C49" s="26">
        <v>0.32</v>
      </c>
      <c r="D49" s="26">
        <v>1.04</v>
      </c>
      <c r="E49" s="27">
        <v>0.08</v>
      </c>
      <c r="F49" s="26">
        <f t="shared" si="5"/>
        <v>1.4400000000000002</v>
      </c>
      <c r="G49" s="31">
        <v>0.36</v>
      </c>
      <c r="H49" s="31">
        <v>1.321</v>
      </c>
      <c r="I49" s="31">
        <v>0.08</v>
      </c>
      <c r="J49" s="26">
        <f t="shared" si="6"/>
        <v>1.7610000000000001</v>
      </c>
      <c r="K49" s="26">
        <v>0.4</v>
      </c>
      <c r="L49" s="26">
        <v>1.521</v>
      </c>
      <c r="M49" s="31">
        <v>0.08</v>
      </c>
      <c r="N49" s="26">
        <f t="shared" si="7"/>
        <v>2.001</v>
      </c>
      <c r="O49" s="26">
        <v>0.36</v>
      </c>
      <c r="P49" s="31">
        <v>1.841</v>
      </c>
      <c r="Q49" s="31">
        <v>0.08</v>
      </c>
      <c r="R49" s="26">
        <f t="shared" si="8"/>
        <v>2.281</v>
      </c>
      <c r="S49" s="26">
        <v>0.8</v>
      </c>
      <c r="T49" s="26">
        <v>2</v>
      </c>
      <c r="U49" s="31">
        <v>0.16</v>
      </c>
      <c r="V49" s="26">
        <f t="shared" si="9"/>
        <v>2.96</v>
      </c>
      <c r="W49" s="26">
        <v>0.48</v>
      </c>
      <c r="X49" s="31">
        <v>2</v>
      </c>
      <c r="Y49" s="31">
        <v>0.12</v>
      </c>
      <c r="Z49" s="26">
        <f t="shared" si="10"/>
        <v>2.6</v>
      </c>
      <c r="AA49" s="75">
        <v>0.76</v>
      </c>
      <c r="AB49" s="76">
        <v>1.84</v>
      </c>
      <c r="AC49" s="85">
        <v>0.4</v>
      </c>
      <c r="AD49" s="74">
        <f t="shared" si="11"/>
        <v>3</v>
      </c>
      <c r="AE49" s="88">
        <v>0.64</v>
      </c>
      <c r="AF49" s="73">
        <v>1.84</v>
      </c>
      <c r="AG49" s="77">
        <v>0.28</v>
      </c>
      <c r="AH49" s="74">
        <f t="shared" si="12"/>
        <v>2.76</v>
      </c>
      <c r="AJ49" s="44">
        <f t="shared" si="16"/>
        <v>0.2229166666666666</v>
      </c>
      <c r="AK49" s="44">
        <f t="shared" si="17"/>
        <v>0.13628620102214636</v>
      </c>
      <c r="AL49" s="44">
        <f t="shared" si="18"/>
        <v>0.1399300349825089</v>
      </c>
      <c r="AM49" s="44">
        <f t="shared" si="19"/>
        <v>0.29767645769399376</v>
      </c>
      <c r="AN49" s="44">
        <f t="shared" si="20"/>
        <v>-0.12162162162162159</v>
      </c>
      <c r="AO49" s="44">
        <f t="shared" si="13"/>
        <v>0.13985094256904862</v>
      </c>
      <c r="AP49" s="69">
        <f t="shared" si="14"/>
        <v>0.013513513513513526</v>
      </c>
      <c r="AQ49" s="69">
        <f t="shared" si="15"/>
        <v>-0.06756756756756763</v>
      </c>
    </row>
    <row r="50" spans="2:43" ht="12.75">
      <c r="B50" s="14" t="s">
        <v>44</v>
      </c>
      <c r="C50" s="26">
        <v>0.12</v>
      </c>
      <c r="D50" s="26">
        <v>1.28</v>
      </c>
      <c r="E50" s="27">
        <v>0.08</v>
      </c>
      <c r="F50" s="26">
        <f t="shared" si="5"/>
        <v>1.48</v>
      </c>
      <c r="G50" s="31">
        <v>0.16</v>
      </c>
      <c r="H50" s="31">
        <v>1.681</v>
      </c>
      <c r="I50" s="31">
        <v>0.12</v>
      </c>
      <c r="J50" s="26">
        <f t="shared" si="6"/>
        <v>1.9609999999999999</v>
      </c>
      <c r="K50" s="26">
        <v>0.16</v>
      </c>
      <c r="L50" s="26">
        <v>1.881</v>
      </c>
      <c r="M50" s="31">
        <v>0.12</v>
      </c>
      <c r="N50" s="26">
        <f t="shared" si="7"/>
        <v>2.161</v>
      </c>
      <c r="O50" s="26">
        <v>0.16</v>
      </c>
      <c r="P50" s="31">
        <v>2.441</v>
      </c>
      <c r="Q50" s="31">
        <v>0.12</v>
      </c>
      <c r="R50" s="26">
        <f t="shared" si="8"/>
        <v>2.721</v>
      </c>
      <c r="S50" s="26">
        <v>0.36</v>
      </c>
      <c r="T50" s="26">
        <v>2.642</v>
      </c>
      <c r="U50" s="31">
        <v>0.44</v>
      </c>
      <c r="V50" s="26">
        <f t="shared" si="9"/>
        <v>3.4419999999999997</v>
      </c>
      <c r="W50" s="26">
        <v>0.28</v>
      </c>
      <c r="X50" s="31">
        <v>2.922</v>
      </c>
      <c r="Y50" s="31">
        <v>0.28</v>
      </c>
      <c r="Z50" s="26">
        <f t="shared" si="10"/>
        <v>3.482</v>
      </c>
      <c r="AA50" s="75">
        <v>0.44</v>
      </c>
      <c r="AB50" s="76">
        <v>2.56</v>
      </c>
      <c r="AC50" s="85">
        <v>0.52</v>
      </c>
      <c r="AD50" s="74">
        <f t="shared" si="11"/>
        <v>3.52</v>
      </c>
      <c r="AE50" s="88">
        <v>0.28</v>
      </c>
      <c r="AF50" s="73">
        <v>2.56</v>
      </c>
      <c r="AG50" s="77">
        <v>0.4</v>
      </c>
      <c r="AH50" s="74">
        <f t="shared" si="12"/>
        <v>3.2399999999999998</v>
      </c>
      <c r="AJ50" s="44">
        <f t="shared" si="16"/>
        <v>0.3249999999999999</v>
      </c>
      <c r="AK50" s="44">
        <f t="shared" si="17"/>
        <v>0.10198878123406435</v>
      </c>
      <c r="AL50" s="44">
        <f t="shared" si="18"/>
        <v>0.25913928736695974</v>
      </c>
      <c r="AM50" s="44">
        <f t="shared" si="19"/>
        <v>0.2649761117236309</v>
      </c>
      <c r="AN50" s="44">
        <f t="shared" si="20"/>
        <v>0.011621150493899036</v>
      </c>
      <c r="AO50" s="44">
        <f t="shared" si="13"/>
        <v>0.2796765894891584</v>
      </c>
      <c r="AP50" s="69">
        <f t="shared" si="14"/>
        <v>0.022661243463102932</v>
      </c>
      <c r="AQ50" s="69">
        <f t="shared" si="15"/>
        <v>-0.05868680999418942</v>
      </c>
    </row>
    <row r="51" spans="2:43" ht="12.75">
      <c r="B51" s="14" t="s">
        <v>45</v>
      </c>
      <c r="C51" s="26">
        <v>0</v>
      </c>
      <c r="D51" s="26">
        <v>1.2</v>
      </c>
      <c r="E51" s="27">
        <v>0</v>
      </c>
      <c r="F51" s="26">
        <f t="shared" si="5"/>
        <v>1.2</v>
      </c>
      <c r="G51" s="31">
        <v>0.04</v>
      </c>
      <c r="H51" s="31">
        <v>1.441</v>
      </c>
      <c r="I51" s="31">
        <v>0.04</v>
      </c>
      <c r="J51" s="26">
        <f t="shared" si="6"/>
        <v>1.5210000000000001</v>
      </c>
      <c r="K51" s="26">
        <v>0.04</v>
      </c>
      <c r="L51" s="26">
        <v>1.601</v>
      </c>
      <c r="M51" s="31">
        <v>0.04</v>
      </c>
      <c r="N51" s="26">
        <f t="shared" si="7"/>
        <v>1.681</v>
      </c>
      <c r="O51" s="26">
        <v>0.04</v>
      </c>
      <c r="P51" s="31">
        <v>1.841</v>
      </c>
      <c r="Q51" s="31">
        <v>0.04</v>
      </c>
      <c r="R51" s="26">
        <f t="shared" si="8"/>
        <v>1.921</v>
      </c>
      <c r="S51" s="26">
        <v>0.36</v>
      </c>
      <c r="T51" s="26">
        <v>2.081</v>
      </c>
      <c r="U51" s="31">
        <v>0.48</v>
      </c>
      <c r="V51" s="26">
        <f t="shared" si="9"/>
        <v>2.921</v>
      </c>
      <c r="W51" s="26">
        <v>0.12</v>
      </c>
      <c r="X51" s="31">
        <v>1.921</v>
      </c>
      <c r="Y51" s="31">
        <v>0.16</v>
      </c>
      <c r="Z51" s="26">
        <f t="shared" si="10"/>
        <v>2.201</v>
      </c>
      <c r="AA51" s="75">
        <v>0.36</v>
      </c>
      <c r="AB51" s="76">
        <v>1.96</v>
      </c>
      <c r="AC51" s="85">
        <v>0.44</v>
      </c>
      <c r="AD51" s="74">
        <f t="shared" si="11"/>
        <v>2.76</v>
      </c>
      <c r="AE51" s="88">
        <v>0.24</v>
      </c>
      <c r="AF51" s="73">
        <v>1.96</v>
      </c>
      <c r="AG51" s="77">
        <v>0.36</v>
      </c>
      <c r="AH51" s="74">
        <f t="shared" si="12"/>
        <v>2.56</v>
      </c>
      <c r="AJ51" s="44">
        <f t="shared" si="16"/>
        <v>0.2675000000000002</v>
      </c>
      <c r="AK51" s="44">
        <f t="shared" si="17"/>
        <v>0.10519395134779744</v>
      </c>
      <c r="AL51" s="44">
        <f t="shared" si="18"/>
        <v>0.14277215942891136</v>
      </c>
      <c r="AM51" s="44">
        <f t="shared" si="19"/>
        <v>0.5205622071837583</v>
      </c>
      <c r="AN51" s="44">
        <f t="shared" si="20"/>
        <v>-0.24649092776446416</v>
      </c>
      <c r="AO51" s="44">
        <f t="shared" si="13"/>
        <v>0.14575741801145237</v>
      </c>
      <c r="AP51" s="69">
        <f t="shared" si="14"/>
        <v>-0.055118110236220486</v>
      </c>
      <c r="AQ51" s="69">
        <f t="shared" si="15"/>
        <v>-0.12358781239301601</v>
      </c>
    </row>
    <row r="52" spans="2:43" ht="12.75">
      <c r="B52" s="14" t="s">
        <v>46</v>
      </c>
      <c r="C52" s="26">
        <v>0.28</v>
      </c>
      <c r="D52" s="26">
        <v>1.441</v>
      </c>
      <c r="E52" s="27">
        <v>0.32</v>
      </c>
      <c r="F52" s="26">
        <f t="shared" si="5"/>
        <v>2.041</v>
      </c>
      <c r="G52" s="31">
        <v>0.32</v>
      </c>
      <c r="H52" s="31">
        <v>2.041</v>
      </c>
      <c r="I52" s="31">
        <v>0.36</v>
      </c>
      <c r="J52" s="26">
        <f t="shared" si="6"/>
        <v>2.7209999999999996</v>
      </c>
      <c r="K52" s="26">
        <v>0.36</v>
      </c>
      <c r="L52" s="26">
        <v>2.361</v>
      </c>
      <c r="M52" s="31">
        <v>0.4</v>
      </c>
      <c r="N52" s="26">
        <f t="shared" si="7"/>
        <v>3.121</v>
      </c>
      <c r="O52" s="26">
        <v>0.32</v>
      </c>
      <c r="P52" s="31">
        <v>2.481</v>
      </c>
      <c r="Q52" s="31">
        <v>0.36</v>
      </c>
      <c r="R52" s="26">
        <f t="shared" si="8"/>
        <v>3.1609999999999996</v>
      </c>
      <c r="S52" s="26">
        <v>0.8</v>
      </c>
      <c r="T52" s="26">
        <v>2.642</v>
      </c>
      <c r="U52" s="31">
        <v>0.8</v>
      </c>
      <c r="V52" s="26">
        <f t="shared" si="9"/>
        <v>4.242</v>
      </c>
      <c r="W52" s="26">
        <v>0.48</v>
      </c>
      <c r="X52" s="31">
        <v>2.962</v>
      </c>
      <c r="Y52" s="31">
        <v>0.48</v>
      </c>
      <c r="Z52" s="26">
        <f t="shared" si="10"/>
        <v>3.922</v>
      </c>
      <c r="AA52" s="75">
        <v>0.76</v>
      </c>
      <c r="AB52" s="76">
        <v>2.72</v>
      </c>
      <c r="AC52" s="85">
        <v>0.76</v>
      </c>
      <c r="AD52" s="74">
        <f t="shared" si="11"/>
        <v>4.24</v>
      </c>
      <c r="AE52" s="88">
        <v>0.64</v>
      </c>
      <c r="AF52" s="73">
        <v>2.72</v>
      </c>
      <c r="AG52" s="77">
        <v>0.64</v>
      </c>
      <c r="AH52" s="74">
        <f t="shared" si="12"/>
        <v>4</v>
      </c>
      <c r="AJ52" s="44">
        <f t="shared" si="16"/>
        <v>0.333170014698677</v>
      </c>
      <c r="AK52" s="44">
        <f t="shared" si="17"/>
        <v>0.14700477765527395</v>
      </c>
      <c r="AL52" s="44">
        <f t="shared" si="18"/>
        <v>0.01281640499839782</v>
      </c>
      <c r="AM52" s="44">
        <f t="shared" si="19"/>
        <v>0.34198038595381225</v>
      </c>
      <c r="AN52" s="44">
        <f t="shared" si="20"/>
        <v>-0.0754361150400754</v>
      </c>
      <c r="AO52" s="44">
        <f t="shared" si="13"/>
        <v>0.2407465991774757</v>
      </c>
      <c r="AP52" s="69">
        <f t="shared" si="14"/>
        <v>-0.00047147571900041954</v>
      </c>
      <c r="AQ52" s="69">
        <f t="shared" si="15"/>
        <v>-0.05704856199905705</v>
      </c>
    </row>
    <row r="53" spans="2:43" ht="12.75">
      <c r="B53" s="14" t="s">
        <v>47</v>
      </c>
      <c r="C53" s="26">
        <v>0.08</v>
      </c>
      <c r="D53" s="26">
        <v>1.721</v>
      </c>
      <c r="E53" s="27">
        <v>0.08</v>
      </c>
      <c r="F53" s="26">
        <f t="shared" si="5"/>
        <v>1.8810000000000002</v>
      </c>
      <c r="G53" s="31">
        <v>0.08</v>
      </c>
      <c r="H53" s="31">
        <v>2.361</v>
      </c>
      <c r="I53" s="31">
        <v>0.08</v>
      </c>
      <c r="J53" s="26">
        <f t="shared" si="6"/>
        <v>2.5210000000000004</v>
      </c>
      <c r="K53" s="26">
        <v>0.08</v>
      </c>
      <c r="L53" s="26">
        <v>2.842</v>
      </c>
      <c r="M53" s="31">
        <v>0.08</v>
      </c>
      <c r="N53" s="26">
        <f t="shared" si="7"/>
        <v>3.0020000000000002</v>
      </c>
      <c r="O53" s="26">
        <v>0.08</v>
      </c>
      <c r="P53" s="31">
        <v>2.842</v>
      </c>
      <c r="Q53" s="31">
        <v>0.08</v>
      </c>
      <c r="R53" s="26">
        <f t="shared" si="8"/>
        <v>3.0020000000000002</v>
      </c>
      <c r="S53" s="26">
        <v>0.36</v>
      </c>
      <c r="T53" s="26">
        <v>3.082</v>
      </c>
      <c r="U53" s="31">
        <v>0.36</v>
      </c>
      <c r="V53" s="26">
        <f t="shared" si="9"/>
        <v>3.8019999999999996</v>
      </c>
      <c r="W53" s="26">
        <v>0.08</v>
      </c>
      <c r="X53" s="31">
        <v>3.362</v>
      </c>
      <c r="Y53" s="31">
        <v>0.08</v>
      </c>
      <c r="Z53" s="26">
        <f t="shared" si="10"/>
        <v>3.5220000000000002</v>
      </c>
      <c r="AA53" s="75">
        <v>0.28</v>
      </c>
      <c r="AB53" s="76">
        <v>3.04</v>
      </c>
      <c r="AC53" s="85">
        <v>0.28</v>
      </c>
      <c r="AD53" s="74">
        <f t="shared" si="11"/>
        <v>3.6000000000000005</v>
      </c>
      <c r="AE53" s="88">
        <v>0.16</v>
      </c>
      <c r="AF53" s="73">
        <v>3.04</v>
      </c>
      <c r="AG53" s="77">
        <v>0.16</v>
      </c>
      <c r="AH53" s="74">
        <f t="shared" si="12"/>
        <v>3.3600000000000003</v>
      </c>
      <c r="AJ53" s="44">
        <f t="shared" si="16"/>
        <v>0.34024455077086657</v>
      </c>
      <c r="AK53" s="44">
        <f t="shared" si="17"/>
        <v>0.19079730265767544</v>
      </c>
      <c r="AL53" s="44">
        <f t="shared" si="18"/>
        <v>0</v>
      </c>
      <c r="AM53" s="44">
        <f t="shared" si="19"/>
        <v>0.2664890073284475</v>
      </c>
      <c r="AN53" s="44">
        <f t="shared" si="20"/>
        <v>-0.07364544976328233</v>
      </c>
      <c r="AO53" s="44">
        <f t="shared" si="13"/>
        <v>0.173217854763491</v>
      </c>
      <c r="AP53" s="69">
        <f t="shared" si="14"/>
        <v>-0.053129931614939264</v>
      </c>
      <c r="AQ53" s="69">
        <f t="shared" si="15"/>
        <v>-0.11625460284061002</v>
      </c>
    </row>
    <row r="54" spans="2:43" ht="12.75">
      <c r="B54" s="14" t="s">
        <v>48</v>
      </c>
      <c r="C54" s="26">
        <v>0.08</v>
      </c>
      <c r="D54" s="26">
        <v>2.241</v>
      </c>
      <c r="E54" s="27">
        <v>0.08</v>
      </c>
      <c r="F54" s="26">
        <f t="shared" si="5"/>
        <v>2.4010000000000002</v>
      </c>
      <c r="G54" s="31">
        <v>0.08</v>
      </c>
      <c r="H54" s="31">
        <v>3.762</v>
      </c>
      <c r="I54" s="31">
        <v>0.08</v>
      </c>
      <c r="J54" s="26">
        <f t="shared" si="6"/>
        <v>3.922</v>
      </c>
      <c r="K54" s="26">
        <v>0.08</v>
      </c>
      <c r="L54" s="46">
        <v>3.842</v>
      </c>
      <c r="M54" s="31">
        <v>0.08</v>
      </c>
      <c r="N54" s="26">
        <f t="shared" si="7"/>
        <v>4.002</v>
      </c>
      <c r="O54" s="26">
        <v>0.08</v>
      </c>
      <c r="P54" s="47">
        <v>4.523</v>
      </c>
      <c r="Q54" s="31">
        <v>0.08</v>
      </c>
      <c r="R54" s="26">
        <f t="shared" si="8"/>
        <v>4.683</v>
      </c>
      <c r="S54" s="26">
        <v>0.36</v>
      </c>
      <c r="T54" s="26">
        <v>4.083</v>
      </c>
      <c r="U54" s="31">
        <v>0.36</v>
      </c>
      <c r="V54" s="26">
        <f t="shared" si="9"/>
        <v>4.803000000000001</v>
      </c>
      <c r="W54" s="26">
        <v>0.08</v>
      </c>
      <c r="X54" s="31">
        <v>4.603</v>
      </c>
      <c r="Y54" s="31">
        <v>0.08</v>
      </c>
      <c r="Z54" s="26">
        <f t="shared" si="10"/>
        <v>4.763</v>
      </c>
      <c r="AA54" s="75">
        <v>0.32</v>
      </c>
      <c r="AB54" s="76">
        <v>4.64</v>
      </c>
      <c r="AC54" s="85">
        <v>0.32</v>
      </c>
      <c r="AD54" s="74">
        <f t="shared" si="11"/>
        <v>5.28</v>
      </c>
      <c r="AE54" s="88">
        <v>0.2</v>
      </c>
      <c r="AF54" s="73">
        <v>4.64</v>
      </c>
      <c r="AG54" s="77">
        <v>0.2</v>
      </c>
      <c r="AH54" s="74">
        <f t="shared" si="12"/>
        <v>5.04</v>
      </c>
      <c r="AJ54" s="44">
        <f t="shared" si="16"/>
        <v>0.6334860474802164</v>
      </c>
      <c r="AK54" s="44">
        <f t="shared" si="17"/>
        <v>0.020397756246812754</v>
      </c>
      <c r="AL54" s="44">
        <f t="shared" si="18"/>
        <v>0.1701649175412294</v>
      </c>
      <c r="AM54" s="44">
        <f t="shared" si="19"/>
        <v>0.025624599615631218</v>
      </c>
      <c r="AN54" s="44">
        <f t="shared" si="20"/>
        <v>-0.00832812825317529</v>
      </c>
      <c r="AO54" s="44">
        <f t="shared" si="13"/>
        <v>0.017083066410420688</v>
      </c>
      <c r="AP54" s="69">
        <f t="shared" si="14"/>
        <v>0.09931292941911292</v>
      </c>
      <c r="AQ54" s="69">
        <f t="shared" si="15"/>
        <v>0.04934415990006229</v>
      </c>
    </row>
    <row r="55" spans="2:43" ht="12.75">
      <c r="B55" s="14" t="s">
        <v>49</v>
      </c>
      <c r="C55" s="26">
        <v>0</v>
      </c>
      <c r="D55" s="26">
        <v>1.841</v>
      </c>
      <c r="E55" s="27">
        <v>0</v>
      </c>
      <c r="F55" s="26">
        <f t="shared" si="5"/>
        <v>1.841</v>
      </c>
      <c r="G55" s="31">
        <v>0</v>
      </c>
      <c r="H55" s="31">
        <v>2.601</v>
      </c>
      <c r="I55" s="31">
        <v>0</v>
      </c>
      <c r="J55" s="26">
        <f t="shared" si="6"/>
        <v>2.601</v>
      </c>
      <c r="K55" s="26">
        <v>0</v>
      </c>
      <c r="L55" s="46">
        <v>2.922</v>
      </c>
      <c r="M55" s="31">
        <v>0</v>
      </c>
      <c r="N55" s="26">
        <f t="shared" si="7"/>
        <v>2.922</v>
      </c>
      <c r="O55" s="26">
        <v>0</v>
      </c>
      <c r="P55" s="47">
        <v>3.122</v>
      </c>
      <c r="Q55" s="31">
        <v>0</v>
      </c>
      <c r="R55" s="26">
        <f t="shared" si="8"/>
        <v>3.122</v>
      </c>
      <c r="S55" s="26">
        <v>0.44</v>
      </c>
      <c r="T55" s="26">
        <v>3.202</v>
      </c>
      <c r="U55" s="31">
        <v>0.44</v>
      </c>
      <c r="V55" s="26">
        <f t="shared" si="9"/>
        <v>4.082</v>
      </c>
      <c r="W55" s="26">
        <v>0.08</v>
      </c>
      <c r="X55" s="31">
        <v>3.522</v>
      </c>
      <c r="Y55" s="31">
        <v>0.08</v>
      </c>
      <c r="Z55" s="26">
        <f t="shared" si="10"/>
        <v>3.682</v>
      </c>
      <c r="AA55" s="75">
        <v>0.24</v>
      </c>
      <c r="AB55" s="76">
        <v>3.08</v>
      </c>
      <c r="AC55" s="85">
        <v>0.24</v>
      </c>
      <c r="AD55" s="74">
        <f t="shared" si="11"/>
        <v>3.5600000000000005</v>
      </c>
      <c r="AE55" s="88">
        <v>0.12</v>
      </c>
      <c r="AF55" s="73">
        <v>3.08</v>
      </c>
      <c r="AG55" s="77">
        <v>0.12</v>
      </c>
      <c r="AH55" s="74">
        <f t="shared" si="12"/>
        <v>3.3200000000000003</v>
      </c>
      <c r="AJ55" s="44">
        <f t="shared" si="16"/>
        <v>0.41281912004345467</v>
      </c>
      <c r="AK55" s="44">
        <f t="shared" si="17"/>
        <v>0.12341407151095739</v>
      </c>
      <c r="AL55" s="44">
        <f t="shared" si="18"/>
        <v>0.06844626967830243</v>
      </c>
      <c r="AM55" s="44">
        <f t="shared" si="19"/>
        <v>0.3074951953875721</v>
      </c>
      <c r="AN55" s="44">
        <f t="shared" si="20"/>
        <v>-0.09799118079372855</v>
      </c>
      <c r="AO55" s="44">
        <f t="shared" si="13"/>
        <v>0.17937219730941706</v>
      </c>
      <c r="AP55" s="69">
        <f t="shared" si="14"/>
        <v>-0.12787849093581563</v>
      </c>
      <c r="AQ55" s="69">
        <f t="shared" si="15"/>
        <v>-0.18667319941205282</v>
      </c>
    </row>
    <row r="56" spans="2:43" ht="12.75">
      <c r="B56" s="14" t="s">
        <v>50</v>
      </c>
      <c r="C56" s="26">
        <v>0.08</v>
      </c>
      <c r="D56" s="26">
        <v>1.841</v>
      </c>
      <c r="E56" s="27">
        <v>0.08</v>
      </c>
      <c r="F56" s="26">
        <f t="shared" si="5"/>
        <v>2.001</v>
      </c>
      <c r="G56" s="31">
        <v>0.08</v>
      </c>
      <c r="H56" s="31">
        <v>2.481</v>
      </c>
      <c r="I56" s="31">
        <v>0.08</v>
      </c>
      <c r="J56" s="26">
        <f t="shared" si="6"/>
        <v>2.641</v>
      </c>
      <c r="K56" s="26">
        <v>0.08</v>
      </c>
      <c r="L56" s="26">
        <v>3.002</v>
      </c>
      <c r="M56" s="31">
        <v>0.08</v>
      </c>
      <c r="N56" s="26">
        <f t="shared" si="7"/>
        <v>3.162</v>
      </c>
      <c r="O56" s="26">
        <v>0.08</v>
      </c>
      <c r="P56" s="31">
        <v>3.082</v>
      </c>
      <c r="Q56" s="31">
        <v>0.08</v>
      </c>
      <c r="R56" s="26">
        <f t="shared" si="8"/>
        <v>3.242</v>
      </c>
      <c r="S56" s="26">
        <v>0.36</v>
      </c>
      <c r="T56" s="26">
        <v>3.402</v>
      </c>
      <c r="U56" s="31">
        <v>0.36</v>
      </c>
      <c r="V56" s="26">
        <f t="shared" si="9"/>
        <v>4.122</v>
      </c>
      <c r="W56" s="26">
        <v>0.08</v>
      </c>
      <c r="X56" s="31">
        <v>3.682</v>
      </c>
      <c r="Y56" s="31">
        <v>0.08</v>
      </c>
      <c r="Z56" s="26">
        <f t="shared" si="10"/>
        <v>3.842</v>
      </c>
      <c r="AA56" s="75">
        <v>0.28</v>
      </c>
      <c r="AB56" s="76">
        <v>3.12</v>
      </c>
      <c r="AC56" s="85">
        <v>0.28</v>
      </c>
      <c r="AD56" s="74">
        <f t="shared" si="11"/>
        <v>3.6800000000000006</v>
      </c>
      <c r="AE56" s="88">
        <v>0.16</v>
      </c>
      <c r="AF56" s="73">
        <v>3.12</v>
      </c>
      <c r="AG56" s="77">
        <v>0.16</v>
      </c>
      <c r="AH56" s="74">
        <f t="shared" si="12"/>
        <v>3.4400000000000004</v>
      </c>
      <c r="AJ56" s="44">
        <f t="shared" si="16"/>
        <v>0.31984007996002006</v>
      </c>
      <c r="AK56" s="44">
        <f t="shared" si="17"/>
        <v>0.19727375993941684</v>
      </c>
      <c r="AL56" s="44">
        <f t="shared" si="18"/>
        <v>0.025300442757748284</v>
      </c>
      <c r="AM56" s="44">
        <f t="shared" si="19"/>
        <v>0.27143738433066006</v>
      </c>
      <c r="AN56" s="44">
        <f t="shared" si="20"/>
        <v>-0.06792819019893251</v>
      </c>
      <c r="AO56" s="44">
        <f t="shared" si="13"/>
        <v>0.18507094386181372</v>
      </c>
      <c r="AP56" s="69">
        <f t="shared" si="14"/>
        <v>-0.10722950024260051</v>
      </c>
      <c r="AQ56" s="69">
        <f t="shared" si="15"/>
        <v>-0.16545366327025704</v>
      </c>
    </row>
    <row r="57" spans="2:43" ht="12.75">
      <c r="B57" s="14" t="s">
        <v>51</v>
      </c>
      <c r="C57" s="26">
        <v>0.12</v>
      </c>
      <c r="D57" s="26">
        <v>1.441</v>
      </c>
      <c r="E57" s="27">
        <v>0.12</v>
      </c>
      <c r="F57" s="26">
        <f t="shared" si="5"/>
        <v>1.681</v>
      </c>
      <c r="G57" s="31">
        <v>0.12</v>
      </c>
      <c r="H57" s="31">
        <v>1.681</v>
      </c>
      <c r="I57" s="31">
        <v>0.12</v>
      </c>
      <c r="J57" s="26">
        <f t="shared" si="6"/>
        <v>1.9210000000000003</v>
      </c>
      <c r="K57" s="26">
        <v>0.12</v>
      </c>
      <c r="L57" s="26">
        <v>2.001</v>
      </c>
      <c r="M57" s="31">
        <v>0.12</v>
      </c>
      <c r="N57" s="26">
        <f t="shared" si="7"/>
        <v>2.241</v>
      </c>
      <c r="O57" s="26">
        <v>0.12</v>
      </c>
      <c r="P57" s="31">
        <v>2.561</v>
      </c>
      <c r="Q57" s="31">
        <v>0.12</v>
      </c>
      <c r="R57" s="26">
        <f t="shared" si="8"/>
        <v>2.801</v>
      </c>
      <c r="S57" s="26">
        <v>0.48</v>
      </c>
      <c r="T57" s="26">
        <v>2.722</v>
      </c>
      <c r="U57" s="31">
        <v>0.48</v>
      </c>
      <c r="V57" s="26">
        <f t="shared" si="9"/>
        <v>3.682</v>
      </c>
      <c r="W57" s="26">
        <v>0.2</v>
      </c>
      <c r="X57" s="31">
        <v>3.042</v>
      </c>
      <c r="Y57" s="31">
        <v>0.2</v>
      </c>
      <c r="Z57" s="26">
        <f t="shared" si="10"/>
        <v>3.442</v>
      </c>
      <c r="AA57" s="75">
        <v>0.48</v>
      </c>
      <c r="AB57" s="76">
        <v>2.44</v>
      </c>
      <c r="AC57" s="85">
        <v>0.48</v>
      </c>
      <c r="AD57" s="74">
        <f t="shared" si="11"/>
        <v>3.4</v>
      </c>
      <c r="AE57" s="88">
        <v>0.36</v>
      </c>
      <c r="AF57" s="73">
        <v>2.44</v>
      </c>
      <c r="AG57" s="77">
        <v>0.36</v>
      </c>
      <c r="AH57" s="74">
        <f t="shared" si="12"/>
        <v>3.1599999999999997</v>
      </c>
      <c r="AJ57" s="44">
        <f t="shared" si="16"/>
        <v>0.14277215942891147</v>
      </c>
      <c r="AK57" s="44">
        <f t="shared" si="17"/>
        <v>0.1665799062988026</v>
      </c>
      <c r="AL57" s="44">
        <f t="shared" si="18"/>
        <v>0.249888442659527</v>
      </c>
      <c r="AM57" s="44">
        <f t="shared" si="19"/>
        <v>0.3145305248125668</v>
      </c>
      <c r="AN57" s="44">
        <f t="shared" si="20"/>
        <v>-0.06518196632265068</v>
      </c>
      <c r="AO57" s="44">
        <f t="shared" si="13"/>
        <v>0.2288468404141378</v>
      </c>
      <c r="AP57" s="69">
        <f t="shared" si="14"/>
        <v>-0.07658881042911463</v>
      </c>
      <c r="AQ57" s="69">
        <f t="shared" si="15"/>
        <v>-0.14177077675176541</v>
      </c>
    </row>
    <row r="58" spans="2:43" ht="12.75">
      <c r="B58" s="14">
        <v>1</v>
      </c>
      <c r="C58" s="26">
        <v>0.2</v>
      </c>
      <c r="D58" s="26">
        <v>0.84</v>
      </c>
      <c r="E58" s="27">
        <v>0.44</v>
      </c>
      <c r="F58" s="26">
        <f t="shared" si="5"/>
        <v>1.48</v>
      </c>
      <c r="G58" s="31">
        <v>0.36</v>
      </c>
      <c r="H58" s="31">
        <v>0.84</v>
      </c>
      <c r="I58" s="31">
        <v>0.44</v>
      </c>
      <c r="J58" s="26">
        <f t="shared" si="6"/>
        <v>1.64</v>
      </c>
      <c r="K58" s="26">
        <v>0.4</v>
      </c>
      <c r="L58" s="26">
        <v>1</v>
      </c>
      <c r="M58" s="31">
        <v>0.48</v>
      </c>
      <c r="N58" s="26">
        <f t="shared" si="7"/>
        <v>1.88</v>
      </c>
      <c r="O58" s="26">
        <v>0.4</v>
      </c>
      <c r="P58" s="31">
        <v>1.2</v>
      </c>
      <c r="Q58" s="31">
        <v>0.52</v>
      </c>
      <c r="R58" s="26">
        <f t="shared" si="8"/>
        <v>2.12</v>
      </c>
      <c r="S58" s="26">
        <v>0.48</v>
      </c>
      <c r="T58" s="26">
        <v>1.2</v>
      </c>
      <c r="U58" s="31">
        <v>0.56</v>
      </c>
      <c r="V58" s="26">
        <f t="shared" si="9"/>
        <v>2.24</v>
      </c>
      <c r="W58" s="26">
        <v>0.56</v>
      </c>
      <c r="X58" s="31">
        <v>1.321</v>
      </c>
      <c r="Y58" s="31">
        <v>0.56</v>
      </c>
      <c r="Z58" s="26">
        <f t="shared" si="10"/>
        <v>2.441</v>
      </c>
      <c r="AA58" s="75">
        <v>0.4</v>
      </c>
      <c r="AB58" s="76">
        <v>1.8</v>
      </c>
      <c r="AC58" s="85">
        <v>0.8</v>
      </c>
      <c r="AD58" s="74">
        <f t="shared" si="11"/>
        <v>3</v>
      </c>
      <c r="AE58" s="88">
        <v>0.28</v>
      </c>
      <c r="AF58" s="73">
        <v>1.8</v>
      </c>
      <c r="AG58" s="77">
        <v>0.68</v>
      </c>
      <c r="AH58" s="74">
        <f t="shared" si="12"/>
        <v>2.7600000000000002</v>
      </c>
      <c r="AJ58" s="44">
        <f t="shared" si="16"/>
        <v>0.10810810810810806</v>
      </c>
      <c r="AK58" s="44">
        <f t="shared" si="17"/>
        <v>0.14634146341463414</v>
      </c>
      <c r="AL58" s="44">
        <f t="shared" si="18"/>
        <v>0.12765957446808524</v>
      </c>
      <c r="AM58" s="44">
        <f t="shared" si="19"/>
        <v>0.05660377358490571</v>
      </c>
      <c r="AN58" s="44">
        <f t="shared" si="20"/>
        <v>0.08973214285714268</v>
      </c>
      <c r="AO58" s="44">
        <f t="shared" si="13"/>
        <v>0.1514150943396225</v>
      </c>
      <c r="AP58" s="69">
        <f t="shared" si="14"/>
        <v>0.33928571428571414</v>
      </c>
      <c r="AQ58" s="69">
        <f t="shared" si="15"/>
        <v>0.23214285714285712</v>
      </c>
    </row>
    <row r="59" spans="2:43" ht="12.75">
      <c r="B59" s="14">
        <v>2</v>
      </c>
      <c r="C59" s="26">
        <v>0.2</v>
      </c>
      <c r="D59" s="26">
        <v>1.721</v>
      </c>
      <c r="E59" s="27">
        <v>0.2</v>
      </c>
      <c r="F59" s="26">
        <f t="shared" si="5"/>
        <v>2.121</v>
      </c>
      <c r="G59" s="31">
        <v>0.24</v>
      </c>
      <c r="H59" s="31">
        <v>2.241</v>
      </c>
      <c r="I59" s="31">
        <v>0.24</v>
      </c>
      <c r="J59" s="26">
        <f t="shared" si="6"/>
        <v>2.721</v>
      </c>
      <c r="K59" s="26">
        <v>0.4</v>
      </c>
      <c r="L59" s="26">
        <v>2.723</v>
      </c>
      <c r="M59" s="31">
        <v>0.4</v>
      </c>
      <c r="N59" s="26">
        <f t="shared" si="7"/>
        <v>3.5229999999999997</v>
      </c>
      <c r="O59" s="26">
        <v>0.28</v>
      </c>
      <c r="P59" s="31">
        <v>3.242</v>
      </c>
      <c r="Q59" s="31">
        <v>0.28</v>
      </c>
      <c r="R59" s="26">
        <f t="shared" si="8"/>
        <v>3.8020000000000005</v>
      </c>
      <c r="S59" s="26">
        <v>0.44</v>
      </c>
      <c r="T59" s="26">
        <v>3.242</v>
      </c>
      <c r="U59" s="31">
        <v>0.44</v>
      </c>
      <c r="V59" s="26">
        <f t="shared" si="9"/>
        <v>4.122</v>
      </c>
      <c r="W59" s="26">
        <v>0.4</v>
      </c>
      <c r="X59" s="31">
        <v>3.762</v>
      </c>
      <c r="Y59" s="31">
        <v>0.4</v>
      </c>
      <c r="Z59" s="26">
        <f t="shared" si="10"/>
        <v>4.562</v>
      </c>
      <c r="AA59" s="75">
        <v>0.48</v>
      </c>
      <c r="AB59" s="76">
        <v>2.76</v>
      </c>
      <c r="AC59" s="85">
        <v>0.64</v>
      </c>
      <c r="AD59" s="74">
        <f t="shared" si="11"/>
        <v>3.88</v>
      </c>
      <c r="AE59" s="88">
        <v>0.36</v>
      </c>
      <c r="AF59" s="73">
        <v>2.76</v>
      </c>
      <c r="AG59" s="77">
        <v>0.52</v>
      </c>
      <c r="AH59" s="74">
        <f t="shared" si="12"/>
        <v>3.6399999999999997</v>
      </c>
      <c r="AJ59" s="44">
        <f t="shared" si="16"/>
        <v>0.28288543140028294</v>
      </c>
      <c r="AK59" s="44">
        <f t="shared" si="17"/>
        <v>0.2947445791988238</v>
      </c>
      <c r="AL59" s="44">
        <f t="shared" si="18"/>
        <v>0.07919386886176577</v>
      </c>
      <c r="AM59" s="44">
        <f t="shared" si="19"/>
        <v>0.0841662283008941</v>
      </c>
      <c r="AN59" s="44">
        <f t="shared" si="20"/>
        <v>0.10674429888403697</v>
      </c>
      <c r="AO59" s="44">
        <f t="shared" si="13"/>
        <v>0.1998947922146238</v>
      </c>
      <c r="AP59" s="69">
        <f t="shared" si="14"/>
        <v>-0.05870936438622028</v>
      </c>
      <c r="AQ59" s="69">
        <f t="shared" si="15"/>
        <v>-0.11693352741387682</v>
      </c>
    </row>
    <row r="60" spans="2:43" ht="12.75">
      <c r="B60" s="14">
        <v>3</v>
      </c>
      <c r="C60" s="46">
        <v>0.2</v>
      </c>
      <c r="D60" s="26">
        <v>1.721</v>
      </c>
      <c r="E60" s="27">
        <v>0.2</v>
      </c>
      <c r="F60" s="26">
        <f t="shared" si="5"/>
        <v>2.121</v>
      </c>
      <c r="G60" s="31">
        <v>0.24</v>
      </c>
      <c r="H60" s="31">
        <v>2.241</v>
      </c>
      <c r="I60" s="31">
        <v>0.24</v>
      </c>
      <c r="J60" s="26">
        <f t="shared" si="6"/>
        <v>2.721</v>
      </c>
      <c r="K60" s="46">
        <v>0.4</v>
      </c>
      <c r="L60" s="26">
        <v>2.723</v>
      </c>
      <c r="M60" s="31">
        <v>0.4</v>
      </c>
      <c r="N60" s="26">
        <f t="shared" si="7"/>
        <v>3.5229999999999997</v>
      </c>
      <c r="O60" s="26">
        <v>0.28</v>
      </c>
      <c r="P60" s="31">
        <v>3.242</v>
      </c>
      <c r="Q60" s="31">
        <v>0.28</v>
      </c>
      <c r="R60" s="26">
        <f t="shared" si="8"/>
        <v>3.8020000000000005</v>
      </c>
      <c r="S60" s="46">
        <v>0.4</v>
      </c>
      <c r="T60" s="26">
        <v>3.242</v>
      </c>
      <c r="U60" s="31">
        <v>0.4</v>
      </c>
      <c r="V60" s="26">
        <f t="shared" si="9"/>
        <v>4.042</v>
      </c>
      <c r="W60" s="26">
        <v>0.4</v>
      </c>
      <c r="X60" s="31">
        <v>3.762</v>
      </c>
      <c r="Y60" s="31">
        <v>0.4</v>
      </c>
      <c r="Z60" s="26">
        <f t="shared" si="10"/>
        <v>4.562</v>
      </c>
      <c r="AA60" s="75">
        <v>0.44</v>
      </c>
      <c r="AB60" s="76">
        <v>2.8</v>
      </c>
      <c r="AC60" s="85">
        <v>0.64</v>
      </c>
      <c r="AD60" s="74">
        <f t="shared" si="11"/>
        <v>3.88</v>
      </c>
      <c r="AE60" s="88">
        <v>0.32</v>
      </c>
      <c r="AF60" s="73">
        <v>2.8</v>
      </c>
      <c r="AG60" s="77">
        <v>0.52</v>
      </c>
      <c r="AH60" s="74">
        <f t="shared" si="12"/>
        <v>3.6399999999999997</v>
      </c>
      <c r="AJ60" s="44">
        <f t="shared" si="16"/>
        <v>0.28288543140028294</v>
      </c>
      <c r="AK60" s="44">
        <f t="shared" si="17"/>
        <v>0.2947445791988238</v>
      </c>
      <c r="AL60" s="44">
        <f t="shared" si="18"/>
        <v>0.07919386886176577</v>
      </c>
      <c r="AM60" s="44">
        <f t="shared" si="19"/>
        <v>0.06312467122567052</v>
      </c>
      <c r="AN60" s="44">
        <f t="shared" si="20"/>
        <v>0.12864918357248897</v>
      </c>
      <c r="AO60" s="44">
        <f t="shared" si="13"/>
        <v>0.1998947922146238</v>
      </c>
      <c r="AP60" s="69">
        <f t="shared" si="14"/>
        <v>-0.04007916872835229</v>
      </c>
      <c r="AQ60" s="69">
        <f t="shared" si="15"/>
        <v>-0.09945571499257796</v>
      </c>
    </row>
    <row r="61" spans="2:43" ht="12.75">
      <c r="B61" s="14">
        <v>4</v>
      </c>
      <c r="C61" s="26">
        <v>0.2</v>
      </c>
      <c r="D61" s="26">
        <v>1.961</v>
      </c>
      <c r="E61" s="27">
        <v>0.32</v>
      </c>
      <c r="F61" s="26">
        <f t="shared" si="5"/>
        <v>2.481</v>
      </c>
      <c r="G61" s="31">
        <v>0.12</v>
      </c>
      <c r="H61" s="31">
        <v>2.481</v>
      </c>
      <c r="I61" s="31">
        <v>0.36</v>
      </c>
      <c r="J61" s="26">
        <f t="shared" si="6"/>
        <v>2.961</v>
      </c>
      <c r="K61" s="26">
        <v>0.08</v>
      </c>
      <c r="L61" s="26">
        <v>3.002</v>
      </c>
      <c r="M61" s="31">
        <v>0.48</v>
      </c>
      <c r="N61" s="26">
        <f t="shared" si="7"/>
        <v>3.562</v>
      </c>
      <c r="O61" s="26">
        <v>0.16</v>
      </c>
      <c r="P61" s="31">
        <v>3.762</v>
      </c>
      <c r="Q61" s="31">
        <v>0.4</v>
      </c>
      <c r="R61" s="26">
        <f t="shared" si="8"/>
        <v>4.322</v>
      </c>
      <c r="S61" s="26">
        <v>0.12</v>
      </c>
      <c r="T61" s="26">
        <v>3.722</v>
      </c>
      <c r="U61" s="31">
        <v>0.56</v>
      </c>
      <c r="V61" s="26">
        <f t="shared" si="9"/>
        <v>4.402</v>
      </c>
      <c r="W61" s="26">
        <v>0.16</v>
      </c>
      <c r="X61" s="31">
        <v>4.083</v>
      </c>
      <c r="Y61" s="31">
        <v>0.56</v>
      </c>
      <c r="Z61" s="26">
        <f t="shared" si="10"/>
        <v>4.803000000000001</v>
      </c>
      <c r="AA61" s="75">
        <v>0.48</v>
      </c>
      <c r="AB61" s="76">
        <v>3.16</v>
      </c>
      <c r="AC61" s="85">
        <v>0.52</v>
      </c>
      <c r="AD61" s="74">
        <f t="shared" si="11"/>
        <v>4.16</v>
      </c>
      <c r="AE61" s="88">
        <v>0.36</v>
      </c>
      <c r="AF61" s="73">
        <v>3.16</v>
      </c>
      <c r="AG61" s="77">
        <v>0.4</v>
      </c>
      <c r="AH61" s="74">
        <f t="shared" si="12"/>
        <v>3.92</v>
      </c>
      <c r="AJ61" s="44">
        <f t="shared" si="16"/>
        <v>0.19347037484885127</v>
      </c>
      <c r="AK61" s="44">
        <f t="shared" si="17"/>
        <v>0.20297196892941574</v>
      </c>
      <c r="AL61" s="44">
        <f t="shared" si="18"/>
        <v>0.2133632790567098</v>
      </c>
      <c r="AM61" s="44">
        <f t="shared" si="19"/>
        <v>0.018509949097639998</v>
      </c>
      <c r="AN61" s="44">
        <f t="shared" si="20"/>
        <v>0.09109495683780115</v>
      </c>
      <c r="AO61" s="44">
        <f t="shared" si="13"/>
        <v>0.11129106894956056</v>
      </c>
      <c r="AP61" s="69">
        <f t="shared" si="14"/>
        <v>-0.054975011358473415</v>
      </c>
      <c r="AQ61" s="69">
        <f t="shared" si="15"/>
        <v>-0.1094956837801</v>
      </c>
    </row>
    <row r="62" spans="2:43" ht="12.75">
      <c r="B62" s="14">
        <v>5</v>
      </c>
      <c r="C62" s="26">
        <v>0.32</v>
      </c>
      <c r="D62" s="26">
        <v>1.721</v>
      </c>
      <c r="E62" s="27">
        <v>0.2</v>
      </c>
      <c r="F62" s="26">
        <f t="shared" si="5"/>
        <v>2.241</v>
      </c>
      <c r="G62" s="31">
        <v>0.24</v>
      </c>
      <c r="H62" s="31">
        <v>2.241</v>
      </c>
      <c r="I62" s="31">
        <v>0.24</v>
      </c>
      <c r="J62" s="26">
        <f t="shared" si="6"/>
        <v>2.721</v>
      </c>
      <c r="K62" s="26">
        <v>0.4</v>
      </c>
      <c r="L62" s="26">
        <v>2.723</v>
      </c>
      <c r="M62" s="31">
        <v>0.4</v>
      </c>
      <c r="N62" s="26">
        <f t="shared" si="7"/>
        <v>3.5229999999999997</v>
      </c>
      <c r="O62" s="26">
        <v>0.28</v>
      </c>
      <c r="P62" s="31">
        <v>3.242</v>
      </c>
      <c r="Q62" s="31">
        <v>0.28</v>
      </c>
      <c r="R62" s="26">
        <f t="shared" si="8"/>
        <v>3.8020000000000005</v>
      </c>
      <c r="S62" s="26">
        <v>0.44</v>
      </c>
      <c r="T62" s="26">
        <v>3.242</v>
      </c>
      <c r="U62" s="31">
        <v>0.44</v>
      </c>
      <c r="V62" s="26">
        <f t="shared" si="9"/>
        <v>4.122</v>
      </c>
      <c r="W62" s="26">
        <v>0.4</v>
      </c>
      <c r="X62" s="31">
        <v>3.762</v>
      </c>
      <c r="Y62" s="31">
        <v>0.4</v>
      </c>
      <c r="Z62" s="26">
        <f t="shared" si="10"/>
        <v>4.562</v>
      </c>
      <c r="AA62" s="75">
        <v>0.6</v>
      </c>
      <c r="AB62" s="76">
        <v>2.76</v>
      </c>
      <c r="AC62" s="85">
        <v>0.64</v>
      </c>
      <c r="AD62" s="74">
        <f t="shared" si="11"/>
        <v>4</v>
      </c>
      <c r="AE62" s="88">
        <v>0.48</v>
      </c>
      <c r="AF62" s="73">
        <v>2.76</v>
      </c>
      <c r="AG62" s="77">
        <v>0.52</v>
      </c>
      <c r="AH62" s="74">
        <f t="shared" si="12"/>
        <v>3.76</v>
      </c>
      <c r="AJ62" s="44">
        <f t="shared" si="16"/>
        <v>0.21419009370816597</v>
      </c>
      <c r="AK62" s="44">
        <f t="shared" si="17"/>
        <v>0.2947445791988238</v>
      </c>
      <c r="AL62" s="44">
        <f t="shared" si="18"/>
        <v>0.07919386886176577</v>
      </c>
      <c r="AM62" s="44">
        <f t="shared" si="19"/>
        <v>0.0841662283008941</v>
      </c>
      <c r="AN62" s="44">
        <f t="shared" si="20"/>
        <v>0.10674429888403697</v>
      </c>
      <c r="AO62" s="44">
        <f t="shared" si="13"/>
        <v>0.1998947922146238</v>
      </c>
      <c r="AP62" s="69">
        <f t="shared" si="14"/>
        <v>-0.029597282872392015</v>
      </c>
      <c r="AQ62" s="69">
        <f t="shared" si="15"/>
        <v>-0.08782144590004855</v>
      </c>
    </row>
    <row r="63" spans="2:43" ht="12.75">
      <c r="B63" s="14">
        <v>6</v>
      </c>
      <c r="C63" s="26">
        <v>0.12</v>
      </c>
      <c r="D63" s="26">
        <v>1.721</v>
      </c>
      <c r="E63" s="27">
        <v>0.32</v>
      </c>
      <c r="F63" s="26">
        <f t="shared" si="5"/>
        <v>2.161</v>
      </c>
      <c r="G63" s="31">
        <v>0.36</v>
      </c>
      <c r="H63" s="31">
        <v>2.241</v>
      </c>
      <c r="I63" s="31">
        <v>0.36</v>
      </c>
      <c r="J63" s="26">
        <f t="shared" si="6"/>
        <v>2.961</v>
      </c>
      <c r="K63" s="26">
        <v>0.4</v>
      </c>
      <c r="L63" s="26">
        <v>2.723</v>
      </c>
      <c r="M63" s="31">
        <v>0.4</v>
      </c>
      <c r="N63" s="26">
        <f t="shared" si="7"/>
        <v>3.5229999999999997</v>
      </c>
      <c r="O63" s="26">
        <v>0.4</v>
      </c>
      <c r="P63" s="31">
        <v>3.242</v>
      </c>
      <c r="Q63" s="31">
        <v>0.4</v>
      </c>
      <c r="R63" s="26">
        <f t="shared" si="8"/>
        <v>4.042</v>
      </c>
      <c r="S63" s="26">
        <v>0.4</v>
      </c>
      <c r="T63" s="26">
        <v>3.242</v>
      </c>
      <c r="U63" s="31">
        <v>0.4</v>
      </c>
      <c r="V63" s="26">
        <f t="shared" si="9"/>
        <v>4.042</v>
      </c>
      <c r="W63" s="26">
        <v>0.4</v>
      </c>
      <c r="X63" s="31">
        <v>3.762</v>
      </c>
      <c r="Y63" s="31">
        <v>0.4</v>
      </c>
      <c r="Z63" s="26">
        <f t="shared" si="10"/>
        <v>4.562</v>
      </c>
      <c r="AA63" s="75">
        <v>0.64</v>
      </c>
      <c r="AB63" s="76">
        <v>2.92</v>
      </c>
      <c r="AC63" s="85">
        <v>0.6</v>
      </c>
      <c r="AD63" s="74">
        <f t="shared" si="11"/>
        <v>4.16</v>
      </c>
      <c r="AE63" s="88">
        <v>0.52</v>
      </c>
      <c r="AF63" s="73">
        <v>2.92</v>
      </c>
      <c r="AG63" s="77">
        <v>0.48</v>
      </c>
      <c r="AH63" s="74">
        <f t="shared" si="12"/>
        <v>3.92</v>
      </c>
      <c r="AJ63" s="44">
        <f t="shared" si="16"/>
        <v>0.37019898195279954</v>
      </c>
      <c r="AK63" s="44">
        <f t="shared" si="17"/>
        <v>0.18980074299223232</v>
      </c>
      <c r="AL63" s="44">
        <f t="shared" si="18"/>
        <v>0.14731762702242412</v>
      </c>
      <c r="AM63" s="44">
        <f t="shared" si="19"/>
        <v>0</v>
      </c>
      <c r="AN63" s="44">
        <f t="shared" si="20"/>
        <v>0.12864918357248897</v>
      </c>
      <c r="AO63" s="44">
        <f t="shared" si="13"/>
        <v>0.12864918357248897</v>
      </c>
      <c r="AP63" s="69">
        <f t="shared" si="14"/>
        <v>0.02919346857991102</v>
      </c>
      <c r="AQ63" s="69">
        <f t="shared" si="15"/>
        <v>-0.03018307768431467</v>
      </c>
    </row>
    <row r="64" spans="2:43" ht="12.75">
      <c r="B64" s="14">
        <v>7</v>
      </c>
      <c r="C64" s="26">
        <v>0.2</v>
      </c>
      <c r="D64" s="26">
        <v>1.721</v>
      </c>
      <c r="E64" s="27">
        <v>0.32</v>
      </c>
      <c r="F64" s="26">
        <f t="shared" si="5"/>
        <v>2.241</v>
      </c>
      <c r="G64" s="31">
        <v>0.12</v>
      </c>
      <c r="H64" s="31">
        <v>2.241</v>
      </c>
      <c r="I64" s="31">
        <v>0.36</v>
      </c>
      <c r="J64" s="26">
        <f t="shared" si="6"/>
        <v>2.721</v>
      </c>
      <c r="K64" s="26">
        <v>0.28</v>
      </c>
      <c r="L64" s="26">
        <v>2.723</v>
      </c>
      <c r="M64" s="31">
        <v>0.28</v>
      </c>
      <c r="N64" s="26">
        <f t="shared" si="7"/>
        <v>3.2830000000000004</v>
      </c>
      <c r="O64" s="26">
        <v>0.16</v>
      </c>
      <c r="P64" s="31">
        <v>3.242</v>
      </c>
      <c r="Q64" s="31">
        <v>0.4</v>
      </c>
      <c r="R64" s="26">
        <f t="shared" si="8"/>
        <v>3.802</v>
      </c>
      <c r="S64" s="26">
        <v>0.24</v>
      </c>
      <c r="T64" s="26">
        <v>3.242</v>
      </c>
      <c r="U64" s="31">
        <v>0.4</v>
      </c>
      <c r="V64" s="26">
        <f t="shared" si="9"/>
        <v>3.882</v>
      </c>
      <c r="W64" s="26">
        <v>0.16</v>
      </c>
      <c r="X64" s="31">
        <v>3.762</v>
      </c>
      <c r="Y64" s="31">
        <v>0.16</v>
      </c>
      <c r="Z64" s="26">
        <f t="shared" si="10"/>
        <v>4.082</v>
      </c>
      <c r="AA64" s="75">
        <v>0.4</v>
      </c>
      <c r="AB64" s="76">
        <v>2.84</v>
      </c>
      <c r="AC64" s="85">
        <v>0.4</v>
      </c>
      <c r="AD64" s="74">
        <f t="shared" si="11"/>
        <v>3.6399999999999997</v>
      </c>
      <c r="AE64" s="88">
        <v>0.28</v>
      </c>
      <c r="AF64" s="73">
        <v>2.84</v>
      </c>
      <c r="AG64" s="77">
        <v>0.28</v>
      </c>
      <c r="AH64" s="74">
        <f t="shared" si="12"/>
        <v>3.4000000000000004</v>
      </c>
      <c r="AJ64" s="44">
        <f t="shared" si="16"/>
        <v>0.21419009370816597</v>
      </c>
      <c r="AK64" s="44">
        <f t="shared" si="17"/>
        <v>0.2065417126056598</v>
      </c>
      <c r="AL64" s="44">
        <f t="shared" si="18"/>
        <v>0.1580871154431921</v>
      </c>
      <c r="AM64" s="44">
        <f t="shared" si="19"/>
        <v>0.021041557075223587</v>
      </c>
      <c r="AN64" s="44">
        <f t="shared" si="20"/>
        <v>0.05151983513652749</v>
      </c>
      <c r="AO64" s="44">
        <f t="shared" si="13"/>
        <v>0.07364544976328243</v>
      </c>
      <c r="AP64" s="69">
        <f t="shared" si="14"/>
        <v>-0.06233900051519846</v>
      </c>
      <c r="AQ64" s="69">
        <f t="shared" si="15"/>
        <v>-0.12416280267903136</v>
      </c>
    </row>
    <row r="65" spans="2:43" ht="12.75">
      <c r="B65" s="14">
        <v>8</v>
      </c>
      <c r="C65" s="26">
        <v>0.2</v>
      </c>
      <c r="D65" s="26">
        <v>1.721</v>
      </c>
      <c r="E65" s="27">
        <v>0.2</v>
      </c>
      <c r="F65" s="26">
        <f t="shared" si="5"/>
        <v>2.121</v>
      </c>
      <c r="G65" s="31">
        <v>0.24</v>
      </c>
      <c r="H65" s="31">
        <v>2.241</v>
      </c>
      <c r="I65" s="31">
        <v>0.24</v>
      </c>
      <c r="J65" s="26">
        <f t="shared" si="6"/>
        <v>2.721</v>
      </c>
      <c r="K65" s="26">
        <v>0.4</v>
      </c>
      <c r="L65" s="26">
        <v>2.723</v>
      </c>
      <c r="M65" s="31">
        <v>0.4</v>
      </c>
      <c r="N65" s="26">
        <f t="shared" si="7"/>
        <v>3.5229999999999997</v>
      </c>
      <c r="O65" s="26">
        <v>0.28</v>
      </c>
      <c r="P65" s="31">
        <v>3.242</v>
      </c>
      <c r="Q65" s="31">
        <v>0.28</v>
      </c>
      <c r="R65" s="26">
        <f t="shared" si="8"/>
        <v>3.8020000000000005</v>
      </c>
      <c r="S65" s="26">
        <v>0.4</v>
      </c>
      <c r="T65" s="26">
        <v>3.242</v>
      </c>
      <c r="U65" s="31">
        <v>0.4</v>
      </c>
      <c r="V65" s="26">
        <f t="shared" si="9"/>
        <v>4.042</v>
      </c>
      <c r="W65" s="26">
        <v>0.4</v>
      </c>
      <c r="X65" s="31">
        <v>3.762</v>
      </c>
      <c r="Y65" s="31">
        <v>0.4</v>
      </c>
      <c r="Z65" s="26">
        <f t="shared" si="10"/>
        <v>4.562</v>
      </c>
      <c r="AA65" s="75">
        <v>0.64</v>
      </c>
      <c r="AB65" s="76">
        <v>2.92</v>
      </c>
      <c r="AC65" s="85">
        <v>0.64</v>
      </c>
      <c r="AD65" s="74">
        <f t="shared" si="11"/>
        <v>4.2</v>
      </c>
      <c r="AE65" s="88">
        <v>0.52</v>
      </c>
      <c r="AF65" s="73">
        <v>2.92</v>
      </c>
      <c r="AG65" s="77">
        <v>0.52</v>
      </c>
      <c r="AH65" s="74">
        <f t="shared" si="12"/>
        <v>3.96</v>
      </c>
      <c r="AJ65" s="44">
        <f t="shared" si="16"/>
        <v>0.28288543140028294</v>
      </c>
      <c r="AK65" s="44">
        <f t="shared" si="17"/>
        <v>0.2947445791988238</v>
      </c>
      <c r="AL65" s="44">
        <f t="shared" si="18"/>
        <v>0.07919386886176577</v>
      </c>
      <c r="AM65" s="44">
        <f t="shared" si="19"/>
        <v>0.06312467122567052</v>
      </c>
      <c r="AN65" s="44">
        <f t="shared" si="20"/>
        <v>0.12864918357248897</v>
      </c>
      <c r="AO65" s="44">
        <f t="shared" si="13"/>
        <v>0.1998947922146238</v>
      </c>
      <c r="AP65" s="69">
        <f t="shared" si="14"/>
        <v>0.03908955962394863</v>
      </c>
      <c r="AQ65" s="69">
        <f t="shared" si="15"/>
        <v>-0.020286986640277054</v>
      </c>
    </row>
    <row r="66" spans="2:43" ht="12.75">
      <c r="B66" s="14">
        <v>9</v>
      </c>
      <c r="C66" s="26">
        <v>0.32</v>
      </c>
      <c r="D66" s="26">
        <v>1.721</v>
      </c>
      <c r="E66" s="27">
        <v>0.2</v>
      </c>
      <c r="F66" s="26">
        <f t="shared" si="5"/>
        <v>2.241</v>
      </c>
      <c r="G66" s="31">
        <v>0.24</v>
      </c>
      <c r="H66" s="31">
        <v>2.241</v>
      </c>
      <c r="I66" s="31">
        <v>0.24</v>
      </c>
      <c r="J66" s="26">
        <f t="shared" si="6"/>
        <v>2.721</v>
      </c>
      <c r="K66" s="26">
        <v>0.4</v>
      </c>
      <c r="L66" s="26">
        <v>2.723</v>
      </c>
      <c r="M66" s="31">
        <v>0.4</v>
      </c>
      <c r="N66" s="26">
        <f t="shared" si="7"/>
        <v>3.5229999999999997</v>
      </c>
      <c r="O66" s="26">
        <v>0.28</v>
      </c>
      <c r="P66" s="31">
        <v>3.242</v>
      </c>
      <c r="Q66" s="31">
        <v>0.28</v>
      </c>
      <c r="R66" s="26">
        <f t="shared" si="8"/>
        <v>3.8020000000000005</v>
      </c>
      <c r="S66" s="26">
        <v>0.4</v>
      </c>
      <c r="T66" s="26">
        <v>3.242</v>
      </c>
      <c r="U66" s="31">
        <v>0.4</v>
      </c>
      <c r="V66" s="26">
        <f t="shared" si="9"/>
        <v>4.042</v>
      </c>
      <c r="W66" s="26">
        <v>0.4</v>
      </c>
      <c r="X66" s="31">
        <v>3.762</v>
      </c>
      <c r="Y66" s="31">
        <v>0.4</v>
      </c>
      <c r="Z66" s="26">
        <f t="shared" si="10"/>
        <v>4.562</v>
      </c>
      <c r="AA66" s="75">
        <v>0.6</v>
      </c>
      <c r="AB66" s="76">
        <v>2.92</v>
      </c>
      <c r="AC66" s="85">
        <v>0.64</v>
      </c>
      <c r="AD66" s="74">
        <f t="shared" si="11"/>
        <v>4.16</v>
      </c>
      <c r="AE66" s="88">
        <v>0.48</v>
      </c>
      <c r="AF66" s="73">
        <v>2.92</v>
      </c>
      <c r="AG66" s="77">
        <v>0.52</v>
      </c>
      <c r="AH66" s="74">
        <f t="shared" si="12"/>
        <v>3.92</v>
      </c>
      <c r="AJ66" s="44">
        <f t="shared" si="16"/>
        <v>0.21419009370816597</v>
      </c>
      <c r="AK66" s="44">
        <f t="shared" si="17"/>
        <v>0.2947445791988238</v>
      </c>
      <c r="AL66" s="44">
        <f t="shared" si="18"/>
        <v>0.07919386886176577</v>
      </c>
      <c r="AM66" s="44">
        <f t="shared" si="19"/>
        <v>0.06312467122567052</v>
      </c>
      <c r="AN66" s="44">
        <f t="shared" si="20"/>
        <v>0.12864918357248897</v>
      </c>
      <c r="AO66" s="44">
        <f t="shared" si="13"/>
        <v>0.1998947922146238</v>
      </c>
      <c r="AP66" s="69">
        <f t="shared" si="14"/>
        <v>0.02919346857991102</v>
      </c>
      <c r="AQ66" s="69">
        <f t="shared" si="15"/>
        <v>-0.03018307768431467</v>
      </c>
    </row>
    <row r="67" spans="2:43" ht="12.75">
      <c r="B67" s="14">
        <v>0</v>
      </c>
      <c r="C67" s="26">
        <v>0.32</v>
      </c>
      <c r="D67" s="26">
        <v>1.841</v>
      </c>
      <c r="E67" s="27">
        <v>0.32</v>
      </c>
      <c r="F67" s="26">
        <f t="shared" si="5"/>
        <v>2.481</v>
      </c>
      <c r="G67" s="31">
        <v>0.36</v>
      </c>
      <c r="H67" s="31">
        <v>2.361</v>
      </c>
      <c r="I67" s="31">
        <v>0.36</v>
      </c>
      <c r="J67" s="26">
        <f t="shared" si="6"/>
        <v>3.081</v>
      </c>
      <c r="K67" s="26">
        <v>0.4</v>
      </c>
      <c r="L67" s="26">
        <v>2.842</v>
      </c>
      <c r="M67" s="31">
        <v>0.4</v>
      </c>
      <c r="N67" s="26">
        <f t="shared" si="7"/>
        <v>3.642</v>
      </c>
      <c r="O67" s="26">
        <v>0.4</v>
      </c>
      <c r="P67" s="31">
        <v>3.362</v>
      </c>
      <c r="Q67" s="31">
        <v>0.4</v>
      </c>
      <c r="R67" s="26">
        <f t="shared" si="8"/>
        <v>4.162</v>
      </c>
      <c r="S67" s="26">
        <v>0.4</v>
      </c>
      <c r="T67" s="26">
        <v>3.362</v>
      </c>
      <c r="U67" s="31">
        <v>0.4</v>
      </c>
      <c r="V67" s="26">
        <f t="shared" si="9"/>
        <v>4.162</v>
      </c>
      <c r="W67" s="26">
        <v>0.4</v>
      </c>
      <c r="X67" s="31">
        <v>3.882</v>
      </c>
      <c r="Y67" s="31">
        <v>0.4</v>
      </c>
      <c r="Z67" s="26">
        <f t="shared" si="10"/>
        <v>4.682</v>
      </c>
      <c r="AA67" s="75">
        <v>0.68</v>
      </c>
      <c r="AB67" s="76">
        <v>3.28</v>
      </c>
      <c r="AC67" s="85">
        <v>0.68</v>
      </c>
      <c r="AD67" s="74">
        <f t="shared" si="11"/>
        <v>4.64</v>
      </c>
      <c r="AE67" s="88">
        <v>0.56</v>
      </c>
      <c r="AF67" s="73">
        <v>3.28</v>
      </c>
      <c r="AG67" s="77">
        <v>0.56</v>
      </c>
      <c r="AH67" s="74">
        <f t="shared" si="12"/>
        <v>4.4</v>
      </c>
      <c r="AJ67" s="44">
        <f t="shared" si="16"/>
        <v>0.24183796856106413</v>
      </c>
      <c r="AK67" s="44">
        <f t="shared" si="17"/>
        <v>0.18208373904576436</v>
      </c>
      <c r="AL67" s="44">
        <f t="shared" si="18"/>
        <v>0.14277869302581</v>
      </c>
      <c r="AM67" s="44">
        <f t="shared" si="19"/>
        <v>0</v>
      </c>
      <c r="AN67" s="44">
        <f t="shared" si="20"/>
        <v>0.12493993272465172</v>
      </c>
      <c r="AO67" s="44">
        <f t="shared" si="13"/>
        <v>0.12493993272465172</v>
      </c>
      <c r="AP67" s="69">
        <f t="shared" si="14"/>
        <v>0.114848630466122</v>
      </c>
      <c r="AQ67" s="69">
        <f t="shared" si="15"/>
        <v>0.057184046131667575</v>
      </c>
    </row>
    <row r="68" spans="2:43" ht="12.75">
      <c r="B68" s="14" t="s">
        <v>52</v>
      </c>
      <c r="C68" s="26">
        <v>0.2</v>
      </c>
      <c r="D68" s="26">
        <v>2.962</v>
      </c>
      <c r="E68" s="27">
        <v>0.12</v>
      </c>
      <c r="F68" s="26">
        <f t="shared" si="5"/>
        <v>3.2820000000000005</v>
      </c>
      <c r="G68" s="31">
        <v>0.36</v>
      </c>
      <c r="H68" s="46">
        <v>3.262</v>
      </c>
      <c r="I68" s="46">
        <v>0.12</v>
      </c>
      <c r="J68" s="26">
        <f t="shared" si="6"/>
        <v>3.742</v>
      </c>
      <c r="K68" s="26">
        <v>0.4</v>
      </c>
      <c r="L68" s="26">
        <v>3.562</v>
      </c>
      <c r="M68" s="46">
        <v>0.12</v>
      </c>
      <c r="N68" s="26">
        <f t="shared" si="7"/>
        <v>4.082</v>
      </c>
      <c r="O68" s="26">
        <v>0.4</v>
      </c>
      <c r="P68" s="31">
        <v>3.602</v>
      </c>
      <c r="Q68" s="46">
        <v>0.12</v>
      </c>
      <c r="R68" s="26">
        <f t="shared" si="8"/>
        <v>4.122</v>
      </c>
      <c r="S68" s="26">
        <v>0.4</v>
      </c>
      <c r="T68" s="26">
        <v>3.602</v>
      </c>
      <c r="U68" s="31">
        <v>0.4</v>
      </c>
      <c r="V68" s="26">
        <f t="shared" si="9"/>
        <v>4.402</v>
      </c>
      <c r="W68" s="26">
        <v>0.56</v>
      </c>
      <c r="X68" s="31">
        <v>4.603</v>
      </c>
      <c r="Y68" s="31">
        <v>0.16</v>
      </c>
      <c r="Z68" s="26">
        <f t="shared" si="10"/>
        <v>5.323</v>
      </c>
      <c r="AA68" s="75">
        <v>0.64</v>
      </c>
      <c r="AB68" s="76">
        <v>3.44</v>
      </c>
      <c r="AC68" s="85">
        <v>0.4</v>
      </c>
      <c r="AD68" s="74">
        <f t="shared" si="11"/>
        <v>4.48</v>
      </c>
      <c r="AE68" s="88">
        <v>0.52</v>
      </c>
      <c r="AF68" s="73">
        <v>3.44</v>
      </c>
      <c r="AG68" s="77">
        <v>0.28</v>
      </c>
      <c r="AH68" s="74">
        <f t="shared" si="12"/>
        <v>4.24</v>
      </c>
      <c r="AJ68" s="44">
        <f t="shared" si="16"/>
        <v>0.14015843997562447</v>
      </c>
      <c r="AK68" s="44">
        <f t="shared" si="17"/>
        <v>0.09086050240513091</v>
      </c>
      <c r="AL68" s="44">
        <f t="shared" si="18"/>
        <v>0.009799118079372865</v>
      </c>
      <c r="AM68" s="44">
        <f t="shared" si="19"/>
        <v>0.06792819019893262</v>
      </c>
      <c r="AN68" s="44">
        <f t="shared" si="20"/>
        <v>0.20922308041799187</v>
      </c>
      <c r="AO68" s="44">
        <f t="shared" si="13"/>
        <v>0.2913634158175644</v>
      </c>
      <c r="AP68" s="69">
        <f t="shared" si="14"/>
        <v>0.017719218537028687</v>
      </c>
      <c r="AQ68" s="69">
        <f t="shared" si="15"/>
        <v>-0.03680145388459789</v>
      </c>
    </row>
    <row r="69" spans="2:43" ht="12.75">
      <c r="B69" s="14" t="s">
        <v>53</v>
      </c>
      <c r="C69" s="26">
        <v>0.44</v>
      </c>
      <c r="D69" s="26">
        <v>0.52</v>
      </c>
      <c r="E69" s="27">
        <v>0.44</v>
      </c>
      <c r="F69" s="26">
        <f t="shared" si="5"/>
        <v>1.4</v>
      </c>
      <c r="G69" s="31">
        <v>0.44</v>
      </c>
      <c r="H69" s="31">
        <v>0.56</v>
      </c>
      <c r="I69" s="31">
        <v>0.44</v>
      </c>
      <c r="J69" s="26">
        <f t="shared" si="6"/>
        <v>1.44</v>
      </c>
      <c r="K69" s="26">
        <v>0.48</v>
      </c>
      <c r="L69" s="26">
        <v>0.64</v>
      </c>
      <c r="M69" s="31">
        <v>0.48</v>
      </c>
      <c r="N69" s="26">
        <f t="shared" si="7"/>
        <v>1.6</v>
      </c>
      <c r="O69" s="26">
        <v>0.52</v>
      </c>
      <c r="P69" s="31">
        <v>0.72</v>
      </c>
      <c r="Q69" s="31">
        <v>0.52</v>
      </c>
      <c r="R69" s="26">
        <f t="shared" si="8"/>
        <v>1.76</v>
      </c>
      <c r="S69" s="26">
        <v>0.56</v>
      </c>
      <c r="T69" s="26">
        <v>0.8</v>
      </c>
      <c r="U69" s="31">
        <v>0.56</v>
      </c>
      <c r="V69" s="26">
        <f t="shared" si="9"/>
        <v>1.9200000000000002</v>
      </c>
      <c r="W69" s="26">
        <v>0.56</v>
      </c>
      <c r="X69" s="31">
        <v>0.76</v>
      </c>
      <c r="Y69" s="31">
        <v>0.56</v>
      </c>
      <c r="Z69" s="26">
        <f t="shared" si="10"/>
        <v>1.8800000000000001</v>
      </c>
      <c r="AA69" s="75">
        <v>0.72</v>
      </c>
      <c r="AB69" s="76">
        <v>1</v>
      </c>
      <c r="AC69" s="85">
        <v>0.72</v>
      </c>
      <c r="AD69" s="74">
        <f t="shared" si="11"/>
        <v>2.44</v>
      </c>
      <c r="AE69" s="88">
        <v>0.6</v>
      </c>
      <c r="AF69" s="73">
        <v>1</v>
      </c>
      <c r="AG69" s="77">
        <v>0.6</v>
      </c>
      <c r="AH69" s="74">
        <f t="shared" si="12"/>
        <v>2.2</v>
      </c>
      <c r="AJ69" s="44">
        <f t="shared" si="16"/>
        <v>0.0285714285714286</v>
      </c>
      <c r="AK69" s="44">
        <f t="shared" si="17"/>
        <v>0.11111111111111122</v>
      </c>
      <c r="AL69" s="44">
        <f t="shared" si="18"/>
        <v>0.09999999999999995</v>
      </c>
      <c r="AM69" s="44">
        <f t="shared" si="19"/>
        <v>0.090909090909091</v>
      </c>
      <c r="AN69" s="44">
        <f t="shared" si="20"/>
        <v>-0.02083333333333335</v>
      </c>
      <c r="AO69" s="44">
        <f t="shared" si="13"/>
        <v>0.06818181818181825</v>
      </c>
      <c r="AP69" s="69">
        <f t="shared" si="14"/>
        <v>0.2708333333333332</v>
      </c>
      <c r="AQ69" s="69">
        <f t="shared" si="15"/>
        <v>0.14583333333333334</v>
      </c>
    </row>
    <row r="70" spans="2:43" ht="12.75">
      <c r="B70" s="14" t="s">
        <v>93</v>
      </c>
      <c r="C70" s="26">
        <v>0.44</v>
      </c>
      <c r="D70" s="26">
        <v>1.561</v>
      </c>
      <c r="E70" s="27">
        <v>0.44</v>
      </c>
      <c r="F70" s="26">
        <f t="shared" si="5"/>
        <v>2.441</v>
      </c>
      <c r="G70" s="31">
        <v>0.44</v>
      </c>
      <c r="H70" s="31">
        <v>1.721</v>
      </c>
      <c r="I70" s="31">
        <v>0.44</v>
      </c>
      <c r="J70" s="26">
        <f t="shared" si="6"/>
        <v>2.601</v>
      </c>
      <c r="K70" s="46">
        <v>0.48</v>
      </c>
      <c r="L70" s="46">
        <v>1.881</v>
      </c>
      <c r="M70" s="46">
        <v>0.48</v>
      </c>
      <c r="N70" s="26">
        <f t="shared" si="7"/>
        <v>2.8409999999999997</v>
      </c>
      <c r="O70" s="26">
        <v>0.52</v>
      </c>
      <c r="P70" s="31">
        <v>2.041</v>
      </c>
      <c r="Q70" s="31">
        <v>0.52</v>
      </c>
      <c r="R70" s="26">
        <f t="shared" si="8"/>
        <v>3.081</v>
      </c>
      <c r="S70" s="26">
        <v>0.56</v>
      </c>
      <c r="T70" s="26">
        <v>2.281</v>
      </c>
      <c r="U70" s="31">
        <v>0.56</v>
      </c>
      <c r="V70" s="26">
        <f t="shared" si="9"/>
        <v>3.4010000000000002</v>
      </c>
      <c r="W70" s="26">
        <v>0.56</v>
      </c>
      <c r="X70" s="31">
        <v>2</v>
      </c>
      <c r="Y70" s="31">
        <v>0.56</v>
      </c>
      <c r="Z70" s="26">
        <f t="shared" si="10"/>
        <v>3.12</v>
      </c>
      <c r="AA70" s="75">
        <v>0.56</v>
      </c>
      <c r="AB70" s="76">
        <v>2.16</v>
      </c>
      <c r="AC70" s="85">
        <v>0.56</v>
      </c>
      <c r="AD70" s="74">
        <f t="shared" si="11"/>
        <v>3.2800000000000002</v>
      </c>
      <c r="AE70" s="88">
        <v>0.44</v>
      </c>
      <c r="AF70" s="73">
        <v>2.16</v>
      </c>
      <c r="AG70" s="77">
        <v>0.44</v>
      </c>
      <c r="AH70" s="74">
        <f t="shared" si="12"/>
        <v>3.04</v>
      </c>
      <c r="AJ70" s="44">
        <f aca="true" t="shared" si="21" ref="AJ70:AJ86">(J70-F70)/F70</f>
        <v>0.06554690700532576</v>
      </c>
      <c r="AK70" s="44">
        <f aca="true" t="shared" si="22" ref="AK70:AK86">(N70-J70)/J70</f>
        <v>0.0922722029988465</v>
      </c>
      <c r="AL70" s="44">
        <f aca="true" t="shared" si="23" ref="AL70:AL86">(R70-N70)/N70</f>
        <v>0.08447729672650484</v>
      </c>
      <c r="AM70" s="44">
        <f aca="true" t="shared" si="24" ref="AM70:AM86">(V70-R70)/R70</f>
        <v>0.1038623823433951</v>
      </c>
      <c r="AN70" s="44">
        <f aca="true" t="shared" si="25" ref="AN70:AN86">(Z70-V70)/V70</f>
        <v>-0.08262275801234935</v>
      </c>
      <c r="AO70" s="44">
        <f t="shared" si="13"/>
        <v>0.012658227848101312</v>
      </c>
      <c r="AP70" s="69">
        <f t="shared" si="14"/>
        <v>-0.03557777124375183</v>
      </c>
      <c r="AQ70" s="69">
        <f t="shared" si="15"/>
        <v>-0.1061452513966481</v>
      </c>
    </row>
    <row r="71" spans="2:43" ht="12.75">
      <c r="B71" s="14" t="s">
        <v>54</v>
      </c>
      <c r="C71" s="26">
        <v>0.32</v>
      </c>
      <c r="D71" s="26">
        <v>2.521</v>
      </c>
      <c r="E71" s="27">
        <v>0.32</v>
      </c>
      <c r="F71" s="26">
        <f aca="true" t="shared" si="26" ref="F71:F86">SUM(C71:E71)</f>
        <v>3.1609999999999996</v>
      </c>
      <c r="G71" s="31">
        <v>0.24</v>
      </c>
      <c r="H71" s="31">
        <v>3.042</v>
      </c>
      <c r="I71" s="31">
        <v>0.24</v>
      </c>
      <c r="J71" s="26">
        <f aca="true" t="shared" si="27" ref="J71:J86">SUM(G71:I71)</f>
        <v>3.5220000000000002</v>
      </c>
      <c r="K71" s="26">
        <v>0.24</v>
      </c>
      <c r="L71" s="26">
        <v>3.402</v>
      </c>
      <c r="M71" s="31">
        <v>0.24</v>
      </c>
      <c r="N71" s="26">
        <f aca="true" t="shared" si="28" ref="N71:N86">SUM(K71:M71)</f>
        <v>3.8820000000000006</v>
      </c>
      <c r="O71" s="26">
        <v>0.24</v>
      </c>
      <c r="P71" s="31">
        <v>3.482</v>
      </c>
      <c r="Q71" s="31">
        <v>0.24</v>
      </c>
      <c r="R71" s="26">
        <f aca="true" t="shared" si="29" ref="R71:R86">SUM(O71:Q71)</f>
        <v>3.9620000000000006</v>
      </c>
      <c r="S71" s="26">
        <v>0.4</v>
      </c>
      <c r="T71" s="26">
        <v>3.522</v>
      </c>
      <c r="U71" s="31">
        <v>0.4</v>
      </c>
      <c r="V71" s="26">
        <f aca="true" t="shared" si="30" ref="V71:V86">SUM(S71:U71)</f>
        <v>4.322</v>
      </c>
      <c r="W71" s="26">
        <v>0.08</v>
      </c>
      <c r="X71" s="31">
        <v>3.522</v>
      </c>
      <c r="Y71" s="31">
        <v>0.08</v>
      </c>
      <c r="Z71" s="26">
        <f aca="true" t="shared" si="31" ref="Z71:Z86">SUM(W71:Y71)</f>
        <v>3.682</v>
      </c>
      <c r="AA71" s="75">
        <v>0.56</v>
      </c>
      <c r="AB71" s="76">
        <v>3.44</v>
      </c>
      <c r="AC71" s="85">
        <v>0.56</v>
      </c>
      <c r="AD71" s="74">
        <f aca="true" t="shared" si="32" ref="AD71:AD86">SUM(AA71:AC71)</f>
        <v>4.5600000000000005</v>
      </c>
      <c r="AE71" s="88">
        <v>0.44</v>
      </c>
      <c r="AF71" s="73">
        <v>3.44</v>
      </c>
      <c r="AG71" s="77">
        <v>0.44</v>
      </c>
      <c r="AH71" s="74">
        <f aca="true" t="shared" si="33" ref="AH71:AH86">SUM(AE71:AG71)</f>
        <v>4.32</v>
      </c>
      <c r="AJ71" s="44">
        <f t="shared" si="21"/>
        <v>0.11420436570705494</v>
      </c>
      <c r="AK71" s="44">
        <f t="shared" si="22"/>
        <v>0.10221465076660996</v>
      </c>
      <c r="AL71" s="44">
        <f t="shared" si="23"/>
        <v>0.02060793405461104</v>
      </c>
      <c r="AM71" s="44">
        <f t="shared" si="24"/>
        <v>0.09086320040383629</v>
      </c>
      <c r="AN71" s="44">
        <f t="shared" si="25"/>
        <v>-0.14807959278111987</v>
      </c>
      <c r="AO71" s="44">
        <f aca="true" t="shared" si="34" ref="AO71:AO86">(Z71-R71)/R71</f>
        <v>-0.07067137809187296</v>
      </c>
      <c r="AP71" s="69">
        <f aca="true" t="shared" si="35" ref="AP71:AP86">(AD71-V71)/V71</f>
        <v>0.05506709856547905</v>
      </c>
      <c r="AQ71" s="69">
        <f aca="true" t="shared" si="36" ref="AQ71:AQ86">(AH71-V71)/V71</f>
        <v>-0.0004627487274409486</v>
      </c>
    </row>
    <row r="72" spans="2:43" ht="12.75">
      <c r="B72" s="14" t="s">
        <v>55</v>
      </c>
      <c r="C72" s="26">
        <v>0.2</v>
      </c>
      <c r="D72" s="26">
        <v>1.721</v>
      </c>
      <c r="E72" s="27">
        <v>0.2</v>
      </c>
      <c r="F72" s="26">
        <f t="shared" si="26"/>
        <v>2.121</v>
      </c>
      <c r="G72" s="31">
        <v>0.36</v>
      </c>
      <c r="H72" s="31">
        <v>2.241</v>
      </c>
      <c r="I72" s="31">
        <v>0.36</v>
      </c>
      <c r="J72" s="26">
        <f t="shared" si="27"/>
        <v>2.961</v>
      </c>
      <c r="K72" s="26">
        <v>0.2</v>
      </c>
      <c r="L72" s="26">
        <v>2.723</v>
      </c>
      <c r="M72" s="31">
        <v>0.2</v>
      </c>
      <c r="N72" s="26">
        <f t="shared" si="28"/>
        <v>3.123</v>
      </c>
      <c r="O72" s="26">
        <v>0.4</v>
      </c>
      <c r="P72" s="31">
        <v>3.242</v>
      </c>
      <c r="Q72" s="31">
        <v>0.4</v>
      </c>
      <c r="R72" s="26">
        <f t="shared" si="29"/>
        <v>4.042</v>
      </c>
      <c r="S72" s="26">
        <v>0.44</v>
      </c>
      <c r="T72" s="26">
        <v>3.242</v>
      </c>
      <c r="U72" s="31">
        <v>0.44</v>
      </c>
      <c r="V72" s="26">
        <f t="shared" si="30"/>
        <v>4.122</v>
      </c>
      <c r="W72" s="26">
        <v>0.4</v>
      </c>
      <c r="X72" s="31">
        <v>3.762</v>
      </c>
      <c r="Y72" s="31">
        <v>0.4</v>
      </c>
      <c r="Z72" s="26">
        <f t="shared" si="31"/>
        <v>4.562</v>
      </c>
      <c r="AA72" s="75">
        <v>0.48</v>
      </c>
      <c r="AB72" s="76">
        <v>2.72</v>
      </c>
      <c r="AC72" s="85">
        <v>0.48</v>
      </c>
      <c r="AD72" s="74">
        <f t="shared" si="32"/>
        <v>3.68</v>
      </c>
      <c r="AE72" s="88">
        <v>0.36</v>
      </c>
      <c r="AF72" s="73">
        <v>2.72</v>
      </c>
      <c r="AG72" s="77">
        <v>0.36</v>
      </c>
      <c r="AH72" s="74">
        <f t="shared" si="33"/>
        <v>3.44</v>
      </c>
      <c r="AJ72" s="44">
        <f t="shared" si="21"/>
        <v>0.39603960396039595</v>
      </c>
      <c r="AK72" s="44">
        <f t="shared" si="22"/>
        <v>0.05471124620060803</v>
      </c>
      <c r="AL72" s="44">
        <f t="shared" si="23"/>
        <v>0.29426833173230854</v>
      </c>
      <c r="AM72" s="44">
        <f t="shared" si="24"/>
        <v>0.01979218208807523</v>
      </c>
      <c r="AN72" s="44">
        <f t="shared" si="25"/>
        <v>0.10674429888403697</v>
      </c>
      <c r="AO72" s="44">
        <f t="shared" si="34"/>
        <v>0.12864918357248897</v>
      </c>
      <c r="AP72" s="69">
        <f t="shared" si="35"/>
        <v>-0.10722950024260061</v>
      </c>
      <c r="AQ72" s="69">
        <f t="shared" si="36"/>
        <v>-0.16545366327025715</v>
      </c>
    </row>
    <row r="73" spans="2:43" ht="12.75">
      <c r="B73" s="14" t="s">
        <v>56</v>
      </c>
      <c r="C73" s="26">
        <v>0.32</v>
      </c>
      <c r="D73" s="26">
        <v>1.761</v>
      </c>
      <c r="E73" s="27">
        <v>0.32</v>
      </c>
      <c r="F73" s="26">
        <f t="shared" si="26"/>
        <v>2.401</v>
      </c>
      <c r="G73" s="31">
        <v>0.24</v>
      </c>
      <c r="H73" s="31">
        <v>1.961</v>
      </c>
      <c r="I73" s="31">
        <v>0.12</v>
      </c>
      <c r="J73" s="26">
        <f t="shared" si="27"/>
        <v>2.321</v>
      </c>
      <c r="K73" s="26">
        <v>0.4</v>
      </c>
      <c r="L73" s="26">
        <v>2.441</v>
      </c>
      <c r="M73" s="31">
        <v>0.28</v>
      </c>
      <c r="N73" s="26">
        <f t="shared" si="28"/>
        <v>3.1209999999999996</v>
      </c>
      <c r="O73" s="26">
        <v>0.4</v>
      </c>
      <c r="P73" s="31">
        <v>2.922</v>
      </c>
      <c r="Q73" s="31">
        <v>0.28</v>
      </c>
      <c r="R73" s="26">
        <f t="shared" si="29"/>
        <v>3.6020000000000003</v>
      </c>
      <c r="S73" s="26">
        <v>0.4</v>
      </c>
      <c r="T73" s="26">
        <v>2.682</v>
      </c>
      <c r="U73" s="31">
        <v>0.28</v>
      </c>
      <c r="V73" s="26">
        <f t="shared" si="30"/>
        <v>3.362</v>
      </c>
      <c r="W73" s="26">
        <v>0.32</v>
      </c>
      <c r="X73" s="31">
        <v>3</v>
      </c>
      <c r="Y73" s="31">
        <v>0.2</v>
      </c>
      <c r="Z73" s="26">
        <f t="shared" si="31"/>
        <v>3.52</v>
      </c>
      <c r="AA73" s="75">
        <v>0.6</v>
      </c>
      <c r="AB73" s="76">
        <v>2.6</v>
      </c>
      <c r="AC73" s="85">
        <v>0.4</v>
      </c>
      <c r="AD73" s="74">
        <f t="shared" si="32"/>
        <v>3.6</v>
      </c>
      <c r="AE73" s="88">
        <v>0.48</v>
      </c>
      <c r="AF73" s="73">
        <v>2.6</v>
      </c>
      <c r="AG73" s="77">
        <v>0.28</v>
      </c>
      <c r="AH73" s="74">
        <f t="shared" si="33"/>
        <v>3.3600000000000003</v>
      </c>
      <c r="AJ73" s="44">
        <f t="shared" si="21"/>
        <v>-0.03331945022907107</v>
      </c>
      <c r="AK73" s="44">
        <f t="shared" si="22"/>
        <v>0.34467901766479936</v>
      </c>
      <c r="AL73" s="44">
        <f t="shared" si="23"/>
        <v>0.15411727010573562</v>
      </c>
      <c r="AM73" s="44">
        <f t="shared" si="24"/>
        <v>-0.06662965019433653</v>
      </c>
      <c r="AN73" s="44">
        <f t="shared" si="25"/>
        <v>0.046995835812016634</v>
      </c>
      <c r="AO73" s="44">
        <f t="shared" si="34"/>
        <v>-0.022765130483065044</v>
      </c>
      <c r="AP73" s="69">
        <f t="shared" si="35"/>
        <v>0.07079119571683522</v>
      </c>
      <c r="AQ73" s="69">
        <f t="shared" si="36"/>
        <v>-0.0005948839976203984</v>
      </c>
    </row>
    <row r="74" spans="2:43" ht="12.75">
      <c r="B74" s="14" t="s">
        <v>57</v>
      </c>
      <c r="C74" s="26">
        <v>0</v>
      </c>
      <c r="D74" s="26">
        <v>3.963</v>
      </c>
      <c r="E74" s="27">
        <v>0</v>
      </c>
      <c r="F74" s="26">
        <f t="shared" si="26"/>
        <v>3.963</v>
      </c>
      <c r="G74" s="31">
        <v>0</v>
      </c>
      <c r="H74" s="31">
        <v>4.083</v>
      </c>
      <c r="I74" s="31">
        <v>0</v>
      </c>
      <c r="J74" s="26">
        <f t="shared" si="27"/>
        <v>4.083</v>
      </c>
      <c r="K74" s="26">
        <v>0</v>
      </c>
      <c r="L74" s="26">
        <v>4.123</v>
      </c>
      <c r="M74" s="31">
        <v>0</v>
      </c>
      <c r="N74" s="26">
        <f t="shared" si="28"/>
        <v>4.123</v>
      </c>
      <c r="O74" s="26">
        <v>0</v>
      </c>
      <c r="P74" s="31">
        <v>4.203</v>
      </c>
      <c r="Q74" s="31">
        <v>0</v>
      </c>
      <c r="R74" s="26">
        <f t="shared" si="29"/>
        <v>4.203</v>
      </c>
      <c r="S74" s="26">
        <v>0</v>
      </c>
      <c r="T74" s="26">
        <v>4.283</v>
      </c>
      <c r="U74" s="31">
        <v>0</v>
      </c>
      <c r="V74" s="26">
        <f t="shared" si="30"/>
        <v>4.283</v>
      </c>
      <c r="W74" s="26">
        <v>0</v>
      </c>
      <c r="X74" s="31">
        <v>4.283</v>
      </c>
      <c r="Y74" s="31">
        <v>0</v>
      </c>
      <c r="Z74" s="26">
        <f t="shared" si="31"/>
        <v>4.283</v>
      </c>
      <c r="AA74" s="75">
        <v>0.44</v>
      </c>
      <c r="AB74" s="76">
        <v>2.88</v>
      </c>
      <c r="AC74" s="85">
        <v>0.44</v>
      </c>
      <c r="AD74" s="74">
        <f t="shared" si="32"/>
        <v>3.76</v>
      </c>
      <c r="AE74" s="88">
        <v>0.32</v>
      </c>
      <c r="AF74" s="73">
        <v>2.88</v>
      </c>
      <c r="AG74" s="77">
        <v>0.32</v>
      </c>
      <c r="AH74" s="74">
        <f t="shared" si="33"/>
        <v>3.5199999999999996</v>
      </c>
      <c r="AJ74" s="44">
        <f t="shared" si="21"/>
        <v>0.03028009084027255</v>
      </c>
      <c r="AK74" s="44">
        <f t="shared" si="22"/>
        <v>0.009796718099436696</v>
      </c>
      <c r="AL74" s="44">
        <f t="shared" si="23"/>
        <v>0.01940334707737086</v>
      </c>
      <c r="AM74" s="44">
        <f t="shared" si="24"/>
        <v>0.01903402331667858</v>
      </c>
      <c r="AN74" s="44">
        <f t="shared" si="25"/>
        <v>0</v>
      </c>
      <c r="AO74" s="44">
        <f t="shared" si="34"/>
        <v>0.01903402331667858</v>
      </c>
      <c r="AP74" s="69">
        <f t="shared" si="35"/>
        <v>-0.12211067009105779</v>
      </c>
      <c r="AQ74" s="69">
        <f t="shared" si="36"/>
        <v>-0.1781461592341818</v>
      </c>
    </row>
    <row r="75" spans="2:43" ht="12.75">
      <c r="B75" s="14" t="s">
        <v>68</v>
      </c>
      <c r="C75" s="26">
        <v>0.32</v>
      </c>
      <c r="D75" s="26">
        <v>2.081</v>
      </c>
      <c r="E75" s="27">
        <v>0.32</v>
      </c>
      <c r="F75" s="26">
        <f t="shared" si="26"/>
        <v>2.7209999999999996</v>
      </c>
      <c r="G75" s="31">
        <v>0.32</v>
      </c>
      <c r="H75" s="31">
        <v>2.081</v>
      </c>
      <c r="I75" s="31">
        <v>0.32</v>
      </c>
      <c r="J75" s="26">
        <f t="shared" si="27"/>
        <v>2.7209999999999996</v>
      </c>
      <c r="K75" s="26">
        <v>0.32</v>
      </c>
      <c r="L75" s="26">
        <v>2.161</v>
      </c>
      <c r="M75" s="31">
        <v>0.32</v>
      </c>
      <c r="N75" s="26">
        <f t="shared" si="28"/>
        <v>2.8009999999999997</v>
      </c>
      <c r="O75" s="26">
        <v>0.32</v>
      </c>
      <c r="P75" s="31">
        <v>2.201</v>
      </c>
      <c r="Q75" s="31">
        <v>0.32</v>
      </c>
      <c r="R75" s="26">
        <f t="shared" si="29"/>
        <v>2.8409999999999997</v>
      </c>
      <c r="S75" s="26">
        <v>0.32</v>
      </c>
      <c r="T75" s="26">
        <v>2.241</v>
      </c>
      <c r="U75" s="31">
        <v>0.32</v>
      </c>
      <c r="V75" s="26">
        <f t="shared" si="30"/>
        <v>2.881</v>
      </c>
      <c r="W75" s="26">
        <v>0.28</v>
      </c>
      <c r="X75" s="31">
        <v>2.241</v>
      </c>
      <c r="Y75" s="31">
        <v>0.28</v>
      </c>
      <c r="Z75" s="26">
        <f t="shared" si="31"/>
        <v>2.801</v>
      </c>
      <c r="AA75" s="75">
        <v>0.6</v>
      </c>
      <c r="AB75" s="76">
        <v>1.92</v>
      </c>
      <c r="AC75" s="85">
        <v>0.6</v>
      </c>
      <c r="AD75" s="74">
        <f t="shared" si="32"/>
        <v>3.12</v>
      </c>
      <c r="AE75" s="88">
        <v>0.48</v>
      </c>
      <c r="AF75" s="73">
        <v>1.92</v>
      </c>
      <c r="AG75" s="77">
        <v>0.48</v>
      </c>
      <c r="AH75" s="74">
        <f t="shared" si="33"/>
        <v>2.88</v>
      </c>
      <c r="AJ75" s="44">
        <f t="shared" si="21"/>
        <v>0</v>
      </c>
      <c r="AK75" s="44">
        <f t="shared" si="22"/>
        <v>0.02940095553105479</v>
      </c>
      <c r="AL75" s="44">
        <f t="shared" si="23"/>
        <v>0.01428061406640487</v>
      </c>
      <c r="AM75" s="44">
        <f t="shared" si="24"/>
        <v>0.014079549454417473</v>
      </c>
      <c r="AN75" s="44">
        <f t="shared" si="25"/>
        <v>-0.027768136063866584</v>
      </c>
      <c r="AO75" s="44">
        <f t="shared" si="34"/>
        <v>-0.014079549454417317</v>
      </c>
      <c r="AP75" s="69">
        <f t="shared" si="35"/>
        <v>0.08295730649080192</v>
      </c>
      <c r="AQ75" s="69">
        <f t="shared" si="36"/>
        <v>-0.0003471017007982957</v>
      </c>
    </row>
    <row r="76" spans="2:43" ht="12.75">
      <c r="B76" s="14" t="s">
        <v>69</v>
      </c>
      <c r="C76" s="26">
        <v>0.32</v>
      </c>
      <c r="D76" s="26">
        <v>0.56</v>
      </c>
      <c r="E76" s="27">
        <v>0.32</v>
      </c>
      <c r="F76" s="26">
        <f t="shared" si="26"/>
        <v>1.2000000000000002</v>
      </c>
      <c r="G76" s="31">
        <v>0.16</v>
      </c>
      <c r="H76" s="31">
        <v>0.64</v>
      </c>
      <c r="I76" s="31">
        <v>0.16</v>
      </c>
      <c r="J76" s="26">
        <f t="shared" si="27"/>
        <v>0.9600000000000001</v>
      </c>
      <c r="K76" s="26">
        <v>0.16</v>
      </c>
      <c r="L76" s="26">
        <v>0.72</v>
      </c>
      <c r="M76" s="31">
        <v>0.16</v>
      </c>
      <c r="N76" s="26">
        <f t="shared" si="28"/>
        <v>1.04</v>
      </c>
      <c r="O76" s="26">
        <v>0.16</v>
      </c>
      <c r="P76" s="31">
        <v>0.72</v>
      </c>
      <c r="Q76" s="31">
        <v>0.16</v>
      </c>
      <c r="R76" s="26">
        <f t="shared" si="29"/>
        <v>1.04</v>
      </c>
      <c r="S76" s="26">
        <v>0.16</v>
      </c>
      <c r="T76" s="26">
        <v>0.8</v>
      </c>
      <c r="U76" s="31">
        <v>0.16</v>
      </c>
      <c r="V76" s="26">
        <f t="shared" si="30"/>
        <v>1.12</v>
      </c>
      <c r="W76" s="26">
        <v>0.28</v>
      </c>
      <c r="X76" s="31">
        <v>0.76</v>
      </c>
      <c r="Y76" s="31">
        <v>0.28</v>
      </c>
      <c r="Z76" s="26">
        <f t="shared" si="31"/>
        <v>1.32</v>
      </c>
      <c r="AA76" s="75">
        <v>0.56</v>
      </c>
      <c r="AB76" s="76">
        <v>1</v>
      </c>
      <c r="AC76" s="85">
        <v>0.56</v>
      </c>
      <c r="AD76" s="74">
        <f t="shared" si="32"/>
        <v>2.12</v>
      </c>
      <c r="AE76" s="88">
        <v>0.44</v>
      </c>
      <c r="AF76" s="73">
        <v>1</v>
      </c>
      <c r="AG76" s="77">
        <v>0.44</v>
      </c>
      <c r="AH76" s="74">
        <f t="shared" si="33"/>
        <v>1.88</v>
      </c>
      <c r="AJ76" s="44">
        <f t="shared" si="21"/>
        <v>-0.20000000000000007</v>
      </c>
      <c r="AK76" s="44">
        <f t="shared" si="22"/>
        <v>0.08333333333333329</v>
      </c>
      <c r="AL76" s="44">
        <f t="shared" si="23"/>
        <v>0</v>
      </c>
      <c r="AM76" s="44">
        <f t="shared" si="24"/>
        <v>0.07692307692307698</v>
      </c>
      <c r="AN76" s="44">
        <f t="shared" si="25"/>
        <v>0.17857142857142852</v>
      </c>
      <c r="AO76" s="44">
        <f t="shared" si="34"/>
        <v>0.2692307692307693</v>
      </c>
      <c r="AP76" s="69">
        <f t="shared" si="35"/>
        <v>0.8928571428571428</v>
      </c>
      <c r="AQ76" s="69">
        <f t="shared" si="36"/>
        <v>0.6785714285714283</v>
      </c>
    </row>
    <row r="77" spans="2:43" ht="12.75">
      <c r="B77" s="14" t="s">
        <v>70</v>
      </c>
      <c r="C77" s="26">
        <v>0.32</v>
      </c>
      <c r="D77" s="26">
        <v>0.6</v>
      </c>
      <c r="E77" s="27">
        <v>0.32</v>
      </c>
      <c r="F77" s="26">
        <f t="shared" si="26"/>
        <v>1.24</v>
      </c>
      <c r="G77" s="31">
        <v>0.16</v>
      </c>
      <c r="H77" s="31">
        <v>0.64</v>
      </c>
      <c r="I77" s="31">
        <v>0.16</v>
      </c>
      <c r="J77" s="26">
        <f t="shared" si="27"/>
        <v>0.9600000000000001</v>
      </c>
      <c r="K77" s="31">
        <v>0.16</v>
      </c>
      <c r="L77" s="31">
        <v>0.72</v>
      </c>
      <c r="M77" s="31">
        <v>0.16</v>
      </c>
      <c r="N77" s="26">
        <f t="shared" si="28"/>
        <v>1.04</v>
      </c>
      <c r="O77" s="31">
        <v>0.16</v>
      </c>
      <c r="P77" s="31">
        <v>0.72</v>
      </c>
      <c r="Q77" s="26">
        <v>0.16</v>
      </c>
      <c r="R77" s="26">
        <f t="shared" si="29"/>
        <v>1.04</v>
      </c>
      <c r="S77" s="31">
        <v>0.16</v>
      </c>
      <c r="T77" s="31">
        <v>0.8</v>
      </c>
      <c r="U77" s="31">
        <v>0.16</v>
      </c>
      <c r="V77" s="26">
        <f t="shared" si="30"/>
        <v>1.12</v>
      </c>
      <c r="W77" s="31">
        <v>0.28</v>
      </c>
      <c r="X77" s="31">
        <v>0.76</v>
      </c>
      <c r="Y77" s="26">
        <v>0.28</v>
      </c>
      <c r="Z77" s="26">
        <f t="shared" si="31"/>
        <v>1.32</v>
      </c>
      <c r="AA77" s="75">
        <v>0.52</v>
      </c>
      <c r="AB77" s="76">
        <v>1.08</v>
      </c>
      <c r="AC77" s="85">
        <v>0.52</v>
      </c>
      <c r="AD77" s="74">
        <f t="shared" si="32"/>
        <v>2.12</v>
      </c>
      <c r="AE77" s="88">
        <v>0.4</v>
      </c>
      <c r="AF77" s="73">
        <v>1.08</v>
      </c>
      <c r="AG77" s="77">
        <v>0.4</v>
      </c>
      <c r="AH77" s="74">
        <f t="shared" si="33"/>
        <v>1.88</v>
      </c>
      <c r="AJ77" s="44">
        <f t="shared" si="21"/>
        <v>-0.22580645161290316</v>
      </c>
      <c r="AK77" s="44">
        <f t="shared" si="22"/>
        <v>0.08333333333333329</v>
      </c>
      <c r="AL77" s="44">
        <f t="shared" si="23"/>
        <v>0</v>
      </c>
      <c r="AM77" s="44">
        <f t="shared" si="24"/>
        <v>0.07692307692307698</v>
      </c>
      <c r="AN77" s="44">
        <f t="shared" si="25"/>
        <v>0.17857142857142852</v>
      </c>
      <c r="AO77" s="44">
        <f t="shared" si="34"/>
        <v>0.2692307692307693</v>
      </c>
      <c r="AP77" s="69">
        <f t="shared" si="35"/>
        <v>0.8928571428571428</v>
      </c>
      <c r="AQ77" s="69">
        <f t="shared" si="36"/>
        <v>0.6785714285714283</v>
      </c>
    </row>
    <row r="78" spans="2:43" ht="12.75">
      <c r="B78" s="15" t="s">
        <v>71</v>
      </c>
      <c r="C78" s="26">
        <v>0.32</v>
      </c>
      <c r="D78" s="26">
        <v>0.6</v>
      </c>
      <c r="E78" s="27">
        <v>0.32</v>
      </c>
      <c r="F78" s="26">
        <f t="shared" si="26"/>
        <v>1.24</v>
      </c>
      <c r="G78" s="31">
        <v>0.16</v>
      </c>
      <c r="H78" s="31">
        <v>0.64</v>
      </c>
      <c r="I78" s="31">
        <v>0.16</v>
      </c>
      <c r="J78" s="26">
        <f t="shared" si="27"/>
        <v>0.9600000000000001</v>
      </c>
      <c r="K78" s="31">
        <v>0.16</v>
      </c>
      <c r="L78" s="31">
        <v>0.72</v>
      </c>
      <c r="M78" s="31">
        <v>0.16</v>
      </c>
      <c r="N78" s="26">
        <f t="shared" si="28"/>
        <v>1.04</v>
      </c>
      <c r="O78" s="31">
        <v>0.16</v>
      </c>
      <c r="P78" s="31">
        <v>0.72</v>
      </c>
      <c r="Q78" s="26">
        <v>0.16</v>
      </c>
      <c r="R78" s="26">
        <f t="shared" si="29"/>
        <v>1.04</v>
      </c>
      <c r="S78" s="31">
        <v>0.16</v>
      </c>
      <c r="T78" s="31">
        <v>0.8</v>
      </c>
      <c r="U78" s="31">
        <v>0.16</v>
      </c>
      <c r="V78" s="26">
        <f t="shared" si="30"/>
        <v>1.12</v>
      </c>
      <c r="W78" s="31">
        <v>0.28</v>
      </c>
      <c r="X78" s="31">
        <v>0.76</v>
      </c>
      <c r="Y78" s="26">
        <v>0.28</v>
      </c>
      <c r="Z78" s="26">
        <f t="shared" si="31"/>
        <v>1.32</v>
      </c>
      <c r="AA78" s="75">
        <v>0.52</v>
      </c>
      <c r="AB78" s="76">
        <v>1.08</v>
      </c>
      <c r="AC78" s="85">
        <v>0.52</v>
      </c>
      <c r="AD78" s="74">
        <f t="shared" si="32"/>
        <v>2.12</v>
      </c>
      <c r="AE78" s="88">
        <v>0.4</v>
      </c>
      <c r="AF78" s="73">
        <v>1.08</v>
      </c>
      <c r="AG78" s="77">
        <v>0.4</v>
      </c>
      <c r="AH78" s="74">
        <f t="shared" si="33"/>
        <v>1.88</v>
      </c>
      <c r="AJ78" s="44">
        <f t="shared" si="21"/>
        <v>-0.22580645161290316</v>
      </c>
      <c r="AK78" s="44">
        <f t="shared" si="22"/>
        <v>0.08333333333333329</v>
      </c>
      <c r="AL78" s="44">
        <f t="shared" si="23"/>
        <v>0</v>
      </c>
      <c r="AM78" s="44">
        <f t="shared" si="24"/>
        <v>0.07692307692307698</v>
      </c>
      <c r="AN78" s="44">
        <f t="shared" si="25"/>
        <v>0.17857142857142852</v>
      </c>
      <c r="AO78" s="44">
        <f t="shared" si="34"/>
        <v>0.2692307692307693</v>
      </c>
      <c r="AP78" s="69">
        <f t="shared" si="35"/>
        <v>0.8928571428571428</v>
      </c>
      <c r="AQ78" s="69">
        <f t="shared" si="36"/>
        <v>0.6785714285714283</v>
      </c>
    </row>
    <row r="79" spans="2:43" ht="12.75">
      <c r="B79" s="14" t="s">
        <v>72</v>
      </c>
      <c r="C79" s="26">
        <v>0.32</v>
      </c>
      <c r="D79" s="26">
        <v>0.56</v>
      </c>
      <c r="E79" s="27">
        <v>0.32</v>
      </c>
      <c r="F79" s="26">
        <f t="shared" si="26"/>
        <v>1.2000000000000002</v>
      </c>
      <c r="G79" s="31">
        <v>0.16</v>
      </c>
      <c r="H79" s="31">
        <v>0.64</v>
      </c>
      <c r="I79" s="31">
        <v>0.16</v>
      </c>
      <c r="J79" s="26">
        <f t="shared" si="27"/>
        <v>0.9600000000000001</v>
      </c>
      <c r="K79" s="26">
        <v>0.16</v>
      </c>
      <c r="L79" s="26">
        <v>0.72</v>
      </c>
      <c r="M79" s="31">
        <v>0.16</v>
      </c>
      <c r="N79" s="26">
        <f t="shared" si="28"/>
        <v>1.04</v>
      </c>
      <c r="O79" s="26">
        <v>0.16</v>
      </c>
      <c r="P79" s="31">
        <v>0.72</v>
      </c>
      <c r="Q79" s="31">
        <v>0.16</v>
      </c>
      <c r="R79" s="26">
        <f t="shared" si="29"/>
        <v>1.04</v>
      </c>
      <c r="S79" s="26">
        <v>0.16</v>
      </c>
      <c r="T79" s="26">
        <v>0.8</v>
      </c>
      <c r="U79" s="31">
        <v>0.16</v>
      </c>
      <c r="V79" s="26">
        <f t="shared" si="30"/>
        <v>1.12</v>
      </c>
      <c r="W79" s="26">
        <v>0.28</v>
      </c>
      <c r="X79" s="31">
        <v>0.76</v>
      </c>
      <c r="Y79" s="31">
        <v>0.28</v>
      </c>
      <c r="Z79" s="26">
        <f t="shared" si="31"/>
        <v>1.32</v>
      </c>
      <c r="AA79" s="75">
        <v>0.56</v>
      </c>
      <c r="AB79" s="76">
        <v>1</v>
      </c>
      <c r="AC79" s="85">
        <v>0.56</v>
      </c>
      <c r="AD79" s="74">
        <f t="shared" si="32"/>
        <v>2.12</v>
      </c>
      <c r="AE79" s="88">
        <v>0.44</v>
      </c>
      <c r="AF79" s="73">
        <v>1</v>
      </c>
      <c r="AG79" s="77">
        <v>0.44</v>
      </c>
      <c r="AH79" s="74">
        <f t="shared" si="33"/>
        <v>1.88</v>
      </c>
      <c r="AJ79" s="44">
        <f t="shared" si="21"/>
        <v>-0.20000000000000007</v>
      </c>
      <c r="AK79" s="44">
        <f t="shared" si="22"/>
        <v>0.08333333333333329</v>
      </c>
      <c r="AL79" s="44">
        <f t="shared" si="23"/>
        <v>0</v>
      </c>
      <c r="AM79" s="44">
        <f t="shared" si="24"/>
        <v>0.07692307692307698</v>
      </c>
      <c r="AN79" s="44">
        <f t="shared" si="25"/>
        <v>0.17857142857142852</v>
      </c>
      <c r="AO79" s="44">
        <f t="shared" si="34"/>
        <v>0.2692307692307693</v>
      </c>
      <c r="AP79" s="69">
        <f t="shared" si="35"/>
        <v>0.8928571428571428</v>
      </c>
      <c r="AQ79" s="69">
        <f t="shared" si="36"/>
        <v>0.6785714285714283</v>
      </c>
    </row>
    <row r="80" spans="2:43" ht="12.75">
      <c r="B80" s="14" t="s">
        <v>58</v>
      </c>
      <c r="C80" s="26">
        <v>0.32</v>
      </c>
      <c r="D80" s="26">
        <v>1.2</v>
      </c>
      <c r="E80" s="27">
        <v>0.2</v>
      </c>
      <c r="F80" s="26">
        <f t="shared" si="26"/>
        <v>1.72</v>
      </c>
      <c r="G80" s="31">
        <v>0.36</v>
      </c>
      <c r="H80" s="31">
        <v>1.2</v>
      </c>
      <c r="I80" s="31">
        <v>0.16</v>
      </c>
      <c r="J80" s="26">
        <f t="shared" si="27"/>
        <v>1.72</v>
      </c>
      <c r="K80" s="26">
        <v>0.4</v>
      </c>
      <c r="L80" s="26">
        <v>1.321</v>
      </c>
      <c r="M80" s="31">
        <v>0.16</v>
      </c>
      <c r="N80" s="26">
        <f t="shared" si="28"/>
        <v>1.881</v>
      </c>
      <c r="O80" s="26">
        <v>0.4</v>
      </c>
      <c r="P80" s="31">
        <v>1.321</v>
      </c>
      <c r="Q80" s="31">
        <v>0.16</v>
      </c>
      <c r="R80" s="26">
        <f t="shared" si="29"/>
        <v>1.881</v>
      </c>
      <c r="S80" s="26">
        <v>0.4</v>
      </c>
      <c r="T80" s="26">
        <v>1.521</v>
      </c>
      <c r="U80" s="31">
        <v>0.16</v>
      </c>
      <c r="V80" s="26">
        <f t="shared" si="30"/>
        <v>2.081</v>
      </c>
      <c r="W80" s="26">
        <v>0.4</v>
      </c>
      <c r="X80" s="31">
        <v>1.361</v>
      </c>
      <c r="Y80" s="31">
        <v>0.12</v>
      </c>
      <c r="Z80" s="26">
        <f t="shared" si="31"/>
        <v>1.8810000000000002</v>
      </c>
      <c r="AA80" s="75">
        <v>0.6</v>
      </c>
      <c r="AB80" s="76">
        <v>1.08</v>
      </c>
      <c r="AC80" s="85">
        <v>0.6</v>
      </c>
      <c r="AD80" s="74">
        <f t="shared" si="32"/>
        <v>2.2800000000000002</v>
      </c>
      <c r="AE80" s="88">
        <v>0.48</v>
      </c>
      <c r="AF80" s="73">
        <v>1.08</v>
      </c>
      <c r="AG80" s="77">
        <v>0.48</v>
      </c>
      <c r="AH80" s="74">
        <f t="shared" si="33"/>
        <v>2.04</v>
      </c>
      <c r="AJ80" s="44">
        <f t="shared" si="21"/>
        <v>0</v>
      </c>
      <c r="AK80" s="44">
        <f t="shared" si="22"/>
        <v>0.09360465116279072</v>
      </c>
      <c r="AL80" s="44">
        <f t="shared" si="23"/>
        <v>0</v>
      </c>
      <c r="AM80" s="44">
        <f t="shared" si="24"/>
        <v>0.10632642211589578</v>
      </c>
      <c r="AN80" s="44">
        <f t="shared" si="25"/>
        <v>-0.09610764055742418</v>
      </c>
      <c r="AO80" s="44">
        <f t="shared" si="34"/>
        <v>1.1804604195908097E-16</v>
      </c>
      <c r="AP80" s="69">
        <f t="shared" si="35"/>
        <v>0.09562710235463734</v>
      </c>
      <c r="AQ80" s="69">
        <f t="shared" si="36"/>
        <v>-0.01970206631427195</v>
      </c>
    </row>
    <row r="81" spans="2:43" ht="12.75">
      <c r="B81" s="14" t="s">
        <v>59</v>
      </c>
      <c r="C81" s="26">
        <v>0.2</v>
      </c>
      <c r="D81" s="26">
        <v>1.2</v>
      </c>
      <c r="E81" s="27">
        <v>0.32</v>
      </c>
      <c r="F81" s="26">
        <f t="shared" si="26"/>
        <v>1.72</v>
      </c>
      <c r="G81" s="31">
        <v>0.16</v>
      </c>
      <c r="H81" s="31">
        <v>1.2</v>
      </c>
      <c r="I81" s="31">
        <v>0.36</v>
      </c>
      <c r="J81" s="26">
        <f t="shared" si="27"/>
        <v>1.7199999999999998</v>
      </c>
      <c r="K81" s="26">
        <v>0.16</v>
      </c>
      <c r="L81" s="26">
        <v>1.321</v>
      </c>
      <c r="M81" s="31">
        <v>0.4</v>
      </c>
      <c r="N81" s="26">
        <f t="shared" si="28"/>
        <v>1.8809999999999998</v>
      </c>
      <c r="O81" s="26">
        <v>0.16</v>
      </c>
      <c r="P81" s="31">
        <v>1.321</v>
      </c>
      <c r="Q81" s="31">
        <v>0.4</v>
      </c>
      <c r="R81" s="26">
        <f t="shared" si="29"/>
        <v>1.8809999999999998</v>
      </c>
      <c r="S81" s="26">
        <v>0.16</v>
      </c>
      <c r="T81" s="26">
        <v>1.521</v>
      </c>
      <c r="U81" s="31">
        <v>0.4</v>
      </c>
      <c r="V81" s="26">
        <f t="shared" si="30"/>
        <v>2.081</v>
      </c>
      <c r="W81" s="26">
        <v>0.12</v>
      </c>
      <c r="X81" s="31">
        <v>1.361</v>
      </c>
      <c r="Y81" s="31">
        <v>0.4</v>
      </c>
      <c r="Z81" s="26">
        <f t="shared" si="31"/>
        <v>1.8809999999999998</v>
      </c>
      <c r="AA81" s="75">
        <v>0.6</v>
      </c>
      <c r="AB81" s="76">
        <v>1.08</v>
      </c>
      <c r="AC81" s="85">
        <v>0.6</v>
      </c>
      <c r="AD81" s="74">
        <f t="shared" si="32"/>
        <v>2.2800000000000002</v>
      </c>
      <c r="AE81" s="88">
        <v>0.48</v>
      </c>
      <c r="AF81" s="73">
        <v>1.08</v>
      </c>
      <c r="AG81" s="77">
        <v>0.48</v>
      </c>
      <c r="AH81" s="74">
        <f t="shared" si="33"/>
        <v>2.04</v>
      </c>
      <c r="AJ81" s="44">
        <f t="shared" si="21"/>
        <v>-1.290957005378089E-16</v>
      </c>
      <c r="AK81" s="44">
        <f t="shared" si="22"/>
        <v>0.09360465116279074</v>
      </c>
      <c r="AL81" s="44">
        <f t="shared" si="23"/>
        <v>0</v>
      </c>
      <c r="AM81" s="44">
        <f t="shared" si="24"/>
        <v>0.10632642211589591</v>
      </c>
      <c r="AN81" s="44">
        <f t="shared" si="25"/>
        <v>-0.0961076405574244</v>
      </c>
      <c r="AO81" s="44">
        <f t="shared" si="34"/>
        <v>0</v>
      </c>
      <c r="AP81" s="69">
        <f t="shared" si="35"/>
        <v>0.09562710235463734</v>
      </c>
      <c r="AQ81" s="69">
        <f t="shared" si="36"/>
        <v>-0.01970206631427195</v>
      </c>
    </row>
    <row r="82" spans="2:43" ht="12.75">
      <c r="B82" s="14" t="s">
        <v>73</v>
      </c>
      <c r="C82" s="26">
        <v>0.12</v>
      </c>
      <c r="D82" s="26">
        <v>1.24</v>
      </c>
      <c r="E82" s="27">
        <v>0.12</v>
      </c>
      <c r="F82" s="26">
        <f t="shared" si="26"/>
        <v>1.48</v>
      </c>
      <c r="G82" s="31">
        <v>0.12</v>
      </c>
      <c r="H82" s="31">
        <v>1.401</v>
      </c>
      <c r="I82" s="31">
        <v>0.12</v>
      </c>
      <c r="J82" s="26">
        <f t="shared" si="27"/>
        <v>1.641</v>
      </c>
      <c r="K82" s="26">
        <v>0.12</v>
      </c>
      <c r="L82" s="26">
        <v>1.401</v>
      </c>
      <c r="M82" s="31">
        <v>0.12</v>
      </c>
      <c r="N82" s="26">
        <f t="shared" si="28"/>
        <v>1.641</v>
      </c>
      <c r="O82" s="26">
        <v>0.12</v>
      </c>
      <c r="P82" s="31">
        <v>1.401</v>
      </c>
      <c r="Q82" s="31">
        <v>0.12</v>
      </c>
      <c r="R82" s="26">
        <f t="shared" si="29"/>
        <v>1.641</v>
      </c>
      <c r="S82" s="26">
        <v>0.12</v>
      </c>
      <c r="T82" s="26">
        <v>1.401</v>
      </c>
      <c r="U82" s="31">
        <v>0.12</v>
      </c>
      <c r="V82" s="26">
        <f t="shared" si="30"/>
        <v>1.641</v>
      </c>
      <c r="W82" s="26">
        <v>0.16</v>
      </c>
      <c r="X82" s="31">
        <v>1.401</v>
      </c>
      <c r="Y82" s="31">
        <v>0.16</v>
      </c>
      <c r="Z82" s="26">
        <f t="shared" si="31"/>
        <v>1.7209999999999999</v>
      </c>
      <c r="AA82" s="75">
        <v>0.8</v>
      </c>
      <c r="AB82" s="76">
        <v>1.56</v>
      </c>
      <c r="AC82" s="85">
        <v>0.8</v>
      </c>
      <c r="AD82" s="74">
        <f t="shared" si="32"/>
        <v>3.16</v>
      </c>
      <c r="AE82" s="88">
        <v>0.6</v>
      </c>
      <c r="AF82" s="73">
        <v>1.56</v>
      </c>
      <c r="AG82" s="77">
        <v>0.6</v>
      </c>
      <c r="AH82" s="74">
        <f t="shared" si="33"/>
        <v>2.7600000000000002</v>
      </c>
      <c r="AJ82" s="44">
        <f t="shared" si="21"/>
        <v>0.10878378378378381</v>
      </c>
      <c r="AK82" s="44">
        <f t="shared" si="22"/>
        <v>0</v>
      </c>
      <c r="AL82" s="44">
        <f t="shared" si="23"/>
        <v>0</v>
      </c>
      <c r="AM82" s="44">
        <f t="shared" si="24"/>
        <v>0</v>
      </c>
      <c r="AN82" s="44">
        <f t="shared" si="25"/>
        <v>0.04875076173065195</v>
      </c>
      <c r="AO82" s="44">
        <f t="shared" si="34"/>
        <v>0.04875076173065195</v>
      </c>
      <c r="AP82" s="69">
        <f t="shared" si="35"/>
        <v>0.9256550883607557</v>
      </c>
      <c r="AQ82" s="69">
        <f t="shared" si="36"/>
        <v>0.6819012797074956</v>
      </c>
    </row>
    <row r="83" spans="2:43" ht="12.75">
      <c r="B83" s="14" t="s">
        <v>60</v>
      </c>
      <c r="C83" s="26">
        <v>0.32</v>
      </c>
      <c r="D83" s="26">
        <v>4</v>
      </c>
      <c r="E83" s="27">
        <v>0.32</v>
      </c>
      <c r="F83" s="26">
        <f t="shared" si="26"/>
        <v>4.640000000000001</v>
      </c>
      <c r="G83" s="31">
        <v>0.36</v>
      </c>
      <c r="H83" s="31">
        <v>4</v>
      </c>
      <c r="I83" s="31">
        <v>0.36</v>
      </c>
      <c r="J83" s="26">
        <f t="shared" si="27"/>
        <v>4.720000000000001</v>
      </c>
      <c r="K83" s="26">
        <v>0.4</v>
      </c>
      <c r="L83" s="26">
        <v>4.003</v>
      </c>
      <c r="M83" s="31">
        <v>0.4</v>
      </c>
      <c r="N83" s="26">
        <f t="shared" si="28"/>
        <v>4.803000000000001</v>
      </c>
      <c r="O83" s="26">
        <v>0.4</v>
      </c>
      <c r="P83" s="31">
        <v>4</v>
      </c>
      <c r="Q83" s="31">
        <v>0.4</v>
      </c>
      <c r="R83" s="26">
        <f t="shared" si="29"/>
        <v>4.800000000000001</v>
      </c>
      <c r="S83" s="26">
        <v>0.4</v>
      </c>
      <c r="T83" s="26">
        <v>4.043</v>
      </c>
      <c r="U83" s="31">
        <v>0.4</v>
      </c>
      <c r="V83" s="26">
        <f t="shared" si="30"/>
        <v>4.843000000000001</v>
      </c>
      <c r="W83" s="26">
        <v>0.4</v>
      </c>
      <c r="X83" s="31">
        <v>4</v>
      </c>
      <c r="Y83" s="31">
        <v>0.4</v>
      </c>
      <c r="Z83" s="26">
        <f t="shared" si="31"/>
        <v>4.800000000000001</v>
      </c>
      <c r="AA83" s="75">
        <v>0.64</v>
      </c>
      <c r="AB83" s="76">
        <v>4.04</v>
      </c>
      <c r="AC83" s="85">
        <v>0.64</v>
      </c>
      <c r="AD83" s="74">
        <f t="shared" si="32"/>
        <v>5.319999999999999</v>
      </c>
      <c r="AE83" s="88">
        <v>0.52</v>
      </c>
      <c r="AF83" s="73">
        <v>4.04</v>
      </c>
      <c r="AG83" s="77">
        <v>0.52</v>
      </c>
      <c r="AH83" s="74">
        <f t="shared" si="33"/>
        <v>5.08</v>
      </c>
      <c r="AJ83" s="44">
        <f t="shared" si="21"/>
        <v>0.01724137931034484</v>
      </c>
      <c r="AK83" s="44">
        <f t="shared" si="22"/>
        <v>0.0175847457627119</v>
      </c>
      <c r="AL83" s="44">
        <f t="shared" si="23"/>
        <v>-0.000624609618988156</v>
      </c>
      <c r="AM83" s="44">
        <f t="shared" si="24"/>
        <v>0.008958333333333363</v>
      </c>
      <c r="AN83" s="44">
        <f t="shared" si="25"/>
        <v>-0.008878794135866229</v>
      </c>
      <c r="AO83" s="44">
        <f t="shared" si="34"/>
        <v>0</v>
      </c>
      <c r="AP83" s="69">
        <f t="shared" si="35"/>
        <v>0.09849266983274797</v>
      </c>
      <c r="AQ83" s="69">
        <f t="shared" si="36"/>
        <v>0.04893660953954144</v>
      </c>
    </row>
    <row r="84" spans="2:43" ht="12.75">
      <c r="B84" s="14" t="s">
        <v>61</v>
      </c>
      <c r="C84" s="26">
        <v>0.12</v>
      </c>
      <c r="D84" s="26">
        <v>2.241</v>
      </c>
      <c r="E84" s="27">
        <v>0.12</v>
      </c>
      <c r="F84" s="26">
        <f t="shared" si="26"/>
        <v>2.4810000000000003</v>
      </c>
      <c r="G84" s="31">
        <v>0.12</v>
      </c>
      <c r="H84" s="31">
        <v>2.601</v>
      </c>
      <c r="I84" s="31">
        <v>0.12</v>
      </c>
      <c r="J84" s="26">
        <f t="shared" si="27"/>
        <v>2.841</v>
      </c>
      <c r="K84" s="46">
        <v>0.12</v>
      </c>
      <c r="L84" s="46">
        <v>2.601</v>
      </c>
      <c r="M84" s="46">
        <v>0.12</v>
      </c>
      <c r="N84" s="26">
        <f t="shared" si="28"/>
        <v>2.841</v>
      </c>
      <c r="O84" s="26">
        <v>0.12</v>
      </c>
      <c r="P84" s="31">
        <v>2.601</v>
      </c>
      <c r="Q84" s="31">
        <v>0.12</v>
      </c>
      <c r="R84" s="26">
        <f t="shared" si="29"/>
        <v>2.841</v>
      </c>
      <c r="S84" s="26">
        <v>0.12</v>
      </c>
      <c r="T84" s="26">
        <v>2.601</v>
      </c>
      <c r="U84" s="31">
        <v>0.12</v>
      </c>
      <c r="V84" s="26">
        <f t="shared" si="30"/>
        <v>2.841</v>
      </c>
      <c r="W84" s="26">
        <v>0.16</v>
      </c>
      <c r="X84" s="31">
        <v>2.601</v>
      </c>
      <c r="Y84" s="31">
        <v>0.16</v>
      </c>
      <c r="Z84" s="26">
        <f t="shared" si="31"/>
        <v>2.9210000000000003</v>
      </c>
      <c r="AA84" s="75">
        <v>0.72</v>
      </c>
      <c r="AB84" s="76">
        <v>2.4</v>
      </c>
      <c r="AC84" s="85">
        <v>0.72</v>
      </c>
      <c r="AD84" s="74">
        <f t="shared" si="32"/>
        <v>3.84</v>
      </c>
      <c r="AE84" s="88">
        <v>0.6</v>
      </c>
      <c r="AF84" s="73">
        <v>2.4</v>
      </c>
      <c r="AG84" s="77">
        <v>0.6</v>
      </c>
      <c r="AH84" s="74">
        <f t="shared" si="33"/>
        <v>3.6</v>
      </c>
      <c r="AJ84" s="44">
        <f t="shared" si="21"/>
        <v>0.14510278113663838</v>
      </c>
      <c r="AK84" s="44">
        <f t="shared" si="22"/>
        <v>0</v>
      </c>
      <c r="AL84" s="44">
        <f t="shared" si="23"/>
        <v>0</v>
      </c>
      <c r="AM84" s="44">
        <f t="shared" si="24"/>
        <v>0</v>
      </c>
      <c r="AN84" s="44">
        <f t="shared" si="25"/>
        <v>0.028159098908834942</v>
      </c>
      <c r="AO84" s="44">
        <f t="shared" si="34"/>
        <v>0.028159098908834942</v>
      </c>
      <c r="AP84" s="69">
        <f t="shared" si="35"/>
        <v>0.3516367476240759</v>
      </c>
      <c r="AQ84" s="69">
        <f t="shared" si="36"/>
        <v>0.2671594508975712</v>
      </c>
    </row>
    <row r="85" spans="2:43" ht="12.75">
      <c r="B85" s="14" t="s">
        <v>62</v>
      </c>
      <c r="C85" s="26">
        <v>0.12</v>
      </c>
      <c r="D85" s="26">
        <v>2.241</v>
      </c>
      <c r="E85" s="27">
        <v>0.12</v>
      </c>
      <c r="F85" s="26">
        <f t="shared" si="26"/>
        <v>2.4810000000000003</v>
      </c>
      <c r="G85" s="31">
        <v>0.12</v>
      </c>
      <c r="H85" s="31">
        <v>2.601</v>
      </c>
      <c r="I85" s="31">
        <v>0.12</v>
      </c>
      <c r="J85" s="26">
        <f t="shared" si="27"/>
        <v>2.841</v>
      </c>
      <c r="K85" s="26">
        <v>0.12</v>
      </c>
      <c r="L85" s="46">
        <v>2.601</v>
      </c>
      <c r="M85" s="31">
        <v>0.12</v>
      </c>
      <c r="N85" s="26">
        <f t="shared" si="28"/>
        <v>2.841</v>
      </c>
      <c r="O85" s="26">
        <v>0.12</v>
      </c>
      <c r="P85" s="31">
        <v>2.601</v>
      </c>
      <c r="Q85" s="31">
        <v>0.12</v>
      </c>
      <c r="R85" s="26">
        <f t="shared" si="29"/>
        <v>2.841</v>
      </c>
      <c r="S85" s="26">
        <v>0.12</v>
      </c>
      <c r="T85" s="26">
        <v>2.601</v>
      </c>
      <c r="U85" s="31">
        <v>0.12</v>
      </c>
      <c r="V85" s="26">
        <f t="shared" si="30"/>
        <v>2.841</v>
      </c>
      <c r="W85" s="26">
        <v>0.16</v>
      </c>
      <c r="X85" s="31">
        <v>2.601</v>
      </c>
      <c r="Y85" s="31">
        <v>0.16</v>
      </c>
      <c r="Z85" s="26">
        <f t="shared" si="31"/>
        <v>2.9210000000000003</v>
      </c>
      <c r="AA85" s="75">
        <v>0.6</v>
      </c>
      <c r="AB85" s="76">
        <v>2.68</v>
      </c>
      <c r="AC85" s="85">
        <v>0.6</v>
      </c>
      <c r="AD85" s="74">
        <f t="shared" si="32"/>
        <v>3.8800000000000003</v>
      </c>
      <c r="AE85" s="88">
        <v>0.48</v>
      </c>
      <c r="AF85" s="73">
        <v>2.68</v>
      </c>
      <c r="AG85" s="77">
        <v>0.48</v>
      </c>
      <c r="AH85" s="74">
        <f t="shared" si="33"/>
        <v>3.64</v>
      </c>
      <c r="AJ85" s="44">
        <f t="shared" si="21"/>
        <v>0.14510278113663838</v>
      </c>
      <c r="AK85" s="44">
        <f t="shared" si="22"/>
        <v>0</v>
      </c>
      <c r="AL85" s="44">
        <f t="shared" si="23"/>
        <v>0</v>
      </c>
      <c r="AM85" s="44">
        <f t="shared" si="24"/>
        <v>0</v>
      </c>
      <c r="AN85" s="44">
        <f t="shared" si="25"/>
        <v>0.028159098908834942</v>
      </c>
      <c r="AO85" s="44">
        <f t="shared" si="34"/>
        <v>0.028159098908834942</v>
      </c>
      <c r="AP85" s="69">
        <f t="shared" si="35"/>
        <v>0.3657162970784935</v>
      </c>
      <c r="AQ85" s="69">
        <f t="shared" si="36"/>
        <v>0.2812390003519887</v>
      </c>
    </row>
    <row r="86" spans="2:43" ht="12.75">
      <c r="B86" s="5" t="s">
        <v>63</v>
      </c>
      <c r="C86" s="28">
        <v>0.2</v>
      </c>
      <c r="D86" s="28">
        <v>2.081</v>
      </c>
      <c r="E86" s="29">
        <v>0.2</v>
      </c>
      <c r="F86" s="28">
        <f t="shared" si="26"/>
        <v>2.4810000000000003</v>
      </c>
      <c r="G86" s="32">
        <v>0.24</v>
      </c>
      <c r="H86" s="32">
        <v>2.441</v>
      </c>
      <c r="I86" s="32">
        <v>0.24</v>
      </c>
      <c r="J86" s="28">
        <f t="shared" si="27"/>
        <v>2.9210000000000003</v>
      </c>
      <c r="K86" s="28">
        <v>0.28</v>
      </c>
      <c r="L86" s="28">
        <v>2.601</v>
      </c>
      <c r="M86" s="32">
        <v>0.28</v>
      </c>
      <c r="N86" s="28">
        <f t="shared" si="28"/>
        <v>3.1610000000000005</v>
      </c>
      <c r="O86" s="28">
        <v>0.28</v>
      </c>
      <c r="P86" s="32">
        <v>2.682</v>
      </c>
      <c r="Q86" s="32">
        <v>0.28</v>
      </c>
      <c r="R86" s="28">
        <f t="shared" si="29"/>
        <v>3.242</v>
      </c>
      <c r="S86" s="28">
        <v>0.28</v>
      </c>
      <c r="T86" s="28">
        <v>2.762</v>
      </c>
      <c r="U86" s="32">
        <v>0.28</v>
      </c>
      <c r="V86" s="28">
        <f t="shared" si="30"/>
        <v>3.322</v>
      </c>
      <c r="W86" s="28">
        <v>0.4</v>
      </c>
      <c r="X86" s="32">
        <v>3.362</v>
      </c>
      <c r="Y86" s="32">
        <v>0.4</v>
      </c>
      <c r="Z86" s="28">
        <f t="shared" si="31"/>
        <v>4.162</v>
      </c>
      <c r="AA86" s="78">
        <v>0.56</v>
      </c>
      <c r="AB86" s="79">
        <v>2.56</v>
      </c>
      <c r="AC86" s="86">
        <v>0.56</v>
      </c>
      <c r="AD86" s="82">
        <f t="shared" si="32"/>
        <v>3.68</v>
      </c>
      <c r="AE86" s="89">
        <v>0.44</v>
      </c>
      <c r="AF86" s="80">
        <v>2.56</v>
      </c>
      <c r="AG86" s="81">
        <v>0.44</v>
      </c>
      <c r="AH86" s="82">
        <f t="shared" si="33"/>
        <v>3.44</v>
      </c>
      <c r="AJ86" s="44">
        <f t="shared" si="21"/>
        <v>0.17734784361144695</v>
      </c>
      <c r="AK86" s="44">
        <f t="shared" si="22"/>
        <v>0.08216364258815481</v>
      </c>
      <c r="AL86" s="44">
        <f t="shared" si="23"/>
        <v>0.025624802277760046</v>
      </c>
      <c r="AM86" s="44">
        <f t="shared" si="24"/>
        <v>0.02467612584824185</v>
      </c>
      <c r="AN86" s="44">
        <f t="shared" si="25"/>
        <v>0.2528597230583985</v>
      </c>
      <c r="AO86" s="44">
        <f t="shared" si="34"/>
        <v>0.283775447254781</v>
      </c>
      <c r="AP86" s="69">
        <f t="shared" si="35"/>
        <v>0.10776640577965084</v>
      </c>
      <c r="AQ86" s="69">
        <f t="shared" si="36"/>
        <v>0.03552077062010833</v>
      </c>
    </row>
    <row r="87" spans="2:43" ht="12.75">
      <c r="B87" s="2"/>
      <c r="AD87" s="67"/>
      <c r="AI87" s="22" t="s">
        <v>92</v>
      </c>
      <c r="AJ87" s="45">
        <f aca="true" t="shared" si="37" ref="AJ87:AQ87">AVERAGE(AJ6:AJ86)</f>
        <v>0.20674233182015972</v>
      </c>
      <c r="AK87" s="45">
        <f t="shared" si="37"/>
        <v>0.15128068739388742</v>
      </c>
      <c r="AL87" s="45">
        <f t="shared" si="37"/>
        <v>0.10013331681361255</v>
      </c>
      <c r="AM87" s="45">
        <f t="shared" si="37"/>
        <v>0.12148404566082179</v>
      </c>
      <c r="AN87" s="45">
        <f t="shared" si="37"/>
        <v>0.041654941048505346</v>
      </c>
      <c r="AO87" s="45">
        <f t="shared" si="37"/>
        <v>0.15290364357282216</v>
      </c>
      <c r="AP87" s="45">
        <f t="shared" si="37"/>
        <v>0.1110081193390319</v>
      </c>
      <c r="AQ87" s="45">
        <f t="shared" si="37"/>
        <v>0.035090510922332625</v>
      </c>
    </row>
    <row r="88" spans="2:30" ht="12.75">
      <c r="B88" s="2"/>
      <c r="F88" s="48" t="s">
        <v>94</v>
      </c>
      <c r="AD88" s="67"/>
    </row>
    <row r="89" spans="2:30" ht="12.75">
      <c r="B89" s="2"/>
      <c r="AD89" s="67"/>
    </row>
    <row r="90" spans="2:30" ht="12.75">
      <c r="B90" s="2"/>
      <c r="AD90" s="67"/>
    </row>
    <row r="91" ht="12.75">
      <c r="AD91" s="67"/>
    </row>
  </sheetData>
  <sheetProtection password="CD64" sheet="1" selectLockedCells="1"/>
  <mergeCells count="16">
    <mergeCell ref="AA3:AD3"/>
    <mergeCell ref="AE3:AH3"/>
    <mergeCell ref="AA4:AD4"/>
    <mergeCell ref="AE4:AH4"/>
    <mergeCell ref="S4:V4"/>
    <mergeCell ref="W4:Z4"/>
    <mergeCell ref="O3:R3"/>
    <mergeCell ref="S3:V3"/>
    <mergeCell ref="W3:Z3"/>
    <mergeCell ref="O4:R4"/>
    <mergeCell ref="C4:F4"/>
    <mergeCell ref="B3:F3"/>
    <mergeCell ref="G4:J4"/>
    <mergeCell ref="K4:N4"/>
    <mergeCell ref="G3:J3"/>
    <mergeCell ref="K3:N3"/>
  </mergeCells>
  <printOptions/>
  <pageMargins left="0.17" right="0.17" top="0.2" bottom="0.35" header="0.5" footer="0.35"/>
  <pageSetup fitToHeight="3" fitToWidth="1" horizontalDpi="600" verticalDpi="600" orientation="landscape" scale="74" r:id="rId1"/>
</worksheet>
</file>

<file path=xl/worksheets/sheet5.xml><?xml version="1.0" encoding="utf-8"?>
<worksheet xmlns="http://schemas.openxmlformats.org/spreadsheetml/2006/main" xmlns:r="http://schemas.openxmlformats.org/officeDocument/2006/relationships">
  <dimension ref="B2:C48"/>
  <sheetViews>
    <sheetView showGridLines="0" zoomScalePageLayoutView="0" workbookViewId="0" topLeftCell="A1">
      <selection activeCell="C3" sqref="C3"/>
    </sheetView>
  </sheetViews>
  <sheetFormatPr defaultColWidth="9.140625" defaultRowHeight="12.75"/>
  <cols>
    <col min="1" max="2" width="4.140625" style="0" customWidth="1"/>
    <col min="3" max="3" width="95.421875" style="0" customWidth="1"/>
  </cols>
  <sheetData>
    <row r="2" ht="12.75">
      <c r="C2" s="35"/>
    </row>
    <row r="3" ht="20.25" thickBot="1">
      <c r="C3" s="203" t="s">
        <v>138</v>
      </c>
    </row>
    <row r="4" ht="33" customHeight="1">
      <c r="C4" s="170"/>
    </row>
    <row r="5" ht="12.75">
      <c r="C5" s="1" t="s">
        <v>109</v>
      </c>
    </row>
    <row r="6" ht="12.75">
      <c r="C6" s="1" t="s">
        <v>110</v>
      </c>
    </row>
    <row r="7" ht="12.75">
      <c r="C7" s="1" t="s">
        <v>112</v>
      </c>
    </row>
    <row r="8" ht="12.75">
      <c r="C8" s="1"/>
    </row>
    <row r="9" ht="14.25">
      <c r="B9" s="202" t="s">
        <v>135</v>
      </c>
    </row>
    <row r="10" ht="14.25">
      <c r="C10" s="202"/>
    </row>
    <row r="11" ht="14.25">
      <c r="B11" s="202" t="s">
        <v>136</v>
      </c>
    </row>
    <row r="12" ht="12.75">
      <c r="C12" s="1" t="s">
        <v>154</v>
      </c>
    </row>
    <row r="13" ht="12.75">
      <c r="C13" s="1" t="s">
        <v>155</v>
      </c>
    </row>
    <row r="14" ht="12.75">
      <c r="C14" s="1" t="s">
        <v>156</v>
      </c>
    </row>
    <row r="15" ht="12.75">
      <c r="C15" s="1"/>
    </row>
    <row r="16" ht="14.25">
      <c r="B16" s="202" t="s">
        <v>144</v>
      </c>
    </row>
    <row r="17" ht="25.5">
      <c r="C17" s="204" t="s">
        <v>159</v>
      </c>
    </row>
    <row r="18" ht="12.75">
      <c r="C18" s="1" t="s">
        <v>157</v>
      </c>
    </row>
    <row r="19" ht="12.75">
      <c r="C19" s="1" t="s">
        <v>160</v>
      </c>
    </row>
    <row r="20" ht="12.75">
      <c r="C20" s="1" t="s">
        <v>158</v>
      </c>
    </row>
    <row r="21" ht="12.75">
      <c r="C21" s="1" t="s">
        <v>161</v>
      </c>
    </row>
    <row r="22" ht="12.75">
      <c r="C22" s="1"/>
    </row>
    <row r="23" ht="14.25">
      <c r="B23" s="202" t="s">
        <v>169</v>
      </c>
    </row>
    <row r="24" ht="12.75">
      <c r="C24" s="204" t="s">
        <v>162</v>
      </c>
    </row>
    <row r="25" ht="12.75">
      <c r="C25" s="1" t="s">
        <v>163</v>
      </c>
    </row>
    <row r="26" ht="12.75">
      <c r="C26" s="90" t="s">
        <v>167</v>
      </c>
    </row>
    <row r="27" ht="12.75">
      <c r="C27" s="1"/>
    </row>
    <row r="28" ht="14.25" hidden="1">
      <c r="B28" s="202" t="s">
        <v>111</v>
      </c>
    </row>
    <row r="29" ht="12.75" hidden="1">
      <c r="C29" s="1"/>
    </row>
    <row r="30" ht="12.75" hidden="1">
      <c r="C30" s="1"/>
    </row>
    <row r="31" ht="28.5" customHeight="1">
      <c r="C31" s="1"/>
    </row>
    <row r="32" ht="13.5" thickBot="1">
      <c r="C32" s="169"/>
    </row>
    <row r="33" ht="13.5">
      <c r="C33" s="168" t="s">
        <v>137</v>
      </c>
    </row>
    <row r="40" ht="12.75">
      <c r="C40" s="1"/>
    </row>
    <row r="41" ht="12.75">
      <c r="C41" s="1"/>
    </row>
    <row r="48" ht="12.75">
      <c r="C48" t="s">
        <v>87</v>
      </c>
    </row>
  </sheetData>
  <sheetProtection password="CD6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DOT/PF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kjsmith</dc:creator>
  <cp:keywords/>
  <dc:description/>
  <cp:lastModifiedBy>Mike Chambers</cp:lastModifiedBy>
  <cp:lastPrinted>2012-05-21T23:06:40Z</cp:lastPrinted>
  <dcterms:created xsi:type="dcterms:W3CDTF">2006-05-16T23:08:04Z</dcterms:created>
  <dcterms:modified xsi:type="dcterms:W3CDTF">2012-06-18T18:12:42Z</dcterms:modified>
  <cp:category/>
  <cp:version/>
  <cp:contentType/>
  <cp:contentStatus/>
</cp:coreProperties>
</file>